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<sst xmlns="http://schemas.openxmlformats.org/spreadsheetml/2006/main" count="2101" uniqueCount="288">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</sst>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37" t="s">
        <v>286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312"/>
    </row>
    <row r="2" spans="2:24" s="1" customFormat="1" ht="15.75" customHeight="1">
      <c r="B2" s="438"/>
      <c r="C2" s="438"/>
      <c r="D2" s="438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47" t="s">
        <v>123</v>
      </c>
      <c r="U3" s="450" t="s">
        <v>125</v>
      </c>
      <c r="V3" s="450"/>
      <c r="W3" s="450"/>
      <c r="X3" s="359"/>
    </row>
    <row r="4" spans="1:23" ht="22.5" customHeight="1">
      <c r="A4" s="439"/>
      <c r="B4" s="441"/>
      <c r="C4" s="442"/>
      <c r="D4" s="443"/>
      <c r="E4" s="451" t="s">
        <v>127</v>
      </c>
      <c r="F4" s="453" t="s">
        <v>33</v>
      </c>
      <c r="G4" s="455" t="s">
        <v>281</v>
      </c>
      <c r="H4" s="448" t="s">
        <v>282</v>
      </c>
      <c r="I4" s="455" t="s">
        <v>138</v>
      </c>
      <c r="J4" s="44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48"/>
      <c r="U4" s="457" t="s">
        <v>287</v>
      </c>
      <c r="V4" s="455" t="s">
        <v>49</v>
      </c>
      <c r="W4" s="459" t="s">
        <v>48</v>
      </c>
    </row>
    <row r="5" spans="1:23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247</v>
      </c>
      <c r="L5" s="461"/>
      <c r="M5" s="462"/>
      <c r="N5" s="463" t="s">
        <v>248</v>
      </c>
      <c r="O5" s="464"/>
      <c r="P5" s="465"/>
      <c r="Q5" s="466" t="s">
        <v>283</v>
      </c>
      <c r="R5" s="466"/>
      <c r="S5" s="466"/>
      <c r="T5" s="449"/>
      <c r="U5" s="458"/>
      <c r="V5" s="456"/>
      <c r="W5" s="459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1330946.1</v>
      </c>
      <c r="E8" s="151">
        <f>E9+E15+E18+E19+E23+E17</f>
        <v>1330946.1</v>
      </c>
      <c r="F8" s="151">
        <f>F9+F15+F18+F19+F23+F17</f>
        <v>1329586.1300000001</v>
      </c>
      <c r="G8" s="151">
        <f>F8-E8</f>
        <v>-1359.969999999972</v>
      </c>
      <c r="H8" s="377">
        <f aca="true" t="shared" si="0" ref="H8:H15">F8/E8</f>
        <v>0.998978193031258</v>
      </c>
      <c r="I8" s="153">
        <f aca="true" t="shared" si="1" ref="I8:I52">F8-D8</f>
        <v>-1359.969999999972</v>
      </c>
      <c r="J8" s="219">
        <f aca="true" t="shared" si="2" ref="J8:J14">F8/D8</f>
        <v>0.998978193031258</v>
      </c>
      <c r="K8" s="153"/>
      <c r="L8" s="153"/>
      <c r="M8" s="153"/>
      <c r="N8" s="153">
        <v>984796</v>
      </c>
      <c r="O8" s="153">
        <f aca="true" t="shared" si="3" ref="O8:O20">D8-N8</f>
        <v>346150.1000000001</v>
      </c>
      <c r="P8" s="219">
        <f aca="true" t="shared" si="4" ref="P8:P20">D8/N8</f>
        <v>1.3514942180918688</v>
      </c>
      <c r="Q8" s="151">
        <f aca="true" t="shared" si="5" ref="Q8:Q51">N8</f>
        <v>984796</v>
      </c>
      <c r="R8" s="151">
        <f aca="true" t="shared" si="6" ref="R8:R78">F8-Q8</f>
        <v>344790.1300000001</v>
      </c>
      <c r="S8" s="205">
        <f aca="true" t="shared" si="7" ref="S8:S20">F8/Q8</f>
        <v>1.3501132518816081</v>
      </c>
      <c r="T8" s="151">
        <f>T9+T15+T18+T19+T23+T17</f>
        <v>148380.5</v>
      </c>
      <c r="U8" s="151">
        <f>U9+U15+U18+U19+U23+U17</f>
        <v>123393.64000000012</v>
      </c>
      <c r="V8" s="151">
        <f>U8-T8</f>
        <v>-24986.859999999884</v>
      </c>
      <c r="W8" s="205">
        <f aca="true" t="shared" si="8" ref="W8:W15">U8/T8</f>
        <v>0.8316028049507861</v>
      </c>
      <c r="X8" s="365">
        <f aca="true" t="shared" si="9" ref="X8:X22">S8-P8</f>
        <v>-0.0013809662102606257</v>
      </c>
    </row>
    <row r="9" spans="1:24" s="6" customFormat="1" ht="18">
      <c r="A9" s="8"/>
      <c r="B9" s="130" t="s">
        <v>79</v>
      </c>
      <c r="C9" s="43">
        <v>11010000</v>
      </c>
      <c r="D9" s="150">
        <f>766645+7544.5</f>
        <v>774189.5</v>
      </c>
      <c r="E9" s="150">
        <f aca="true" t="shared" si="10" ref="E9:E22">D9</f>
        <v>774189.5</v>
      </c>
      <c r="F9" s="156">
        <v>775821.8</v>
      </c>
      <c r="G9" s="150">
        <f>F9-E9</f>
        <v>1632.3000000000466</v>
      </c>
      <c r="H9" s="375">
        <f t="shared" si="0"/>
        <v>1.0021083985251673</v>
      </c>
      <c r="I9" s="158">
        <f t="shared" si="1"/>
        <v>1632.3000000000466</v>
      </c>
      <c r="J9" s="210">
        <f t="shared" si="2"/>
        <v>1.0021083985251673</v>
      </c>
      <c r="K9" s="158"/>
      <c r="L9" s="158"/>
      <c r="M9" s="158"/>
      <c r="N9" s="158">
        <v>541908.6</v>
      </c>
      <c r="O9" s="158">
        <f t="shared" si="3"/>
        <v>232280.90000000002</v>
      </c>
      <c r="P9" s="210">
        <f t="shared" si="4"/>
        <v>1.4286348288253776</v>
      </c>
      <c r="Q9" s="227">
        <f t="shared" si="5"/>
        <v>541908.6</v>
      </c>
      <c r="R9" s="159">
        <f t="shared" si="6"/>
        <v>233913.20000000007</v>
      </c>
      <c r="S9" s="206">
        <f t="shared" si="7"/>
        <v>1.4316469603914757</v>
      </c>
      <c r="T9" s="157">
        <f>E9-листопад!E9</f>
        <v>88523.5</v>
      </c>
      <c r="U9" s="160">
        <f>F9-листопад!F9</f>
        <v>86380.6100000001</v>
      </c>
      <c r="V9" s="161">
        <f>U9-T9</f>
        <v>-2142.8899999998976</v>
      </c>
      <c r="W9" s="210">
        <f t="shared" si="8"/>
        <v>0.9757929815246811</v>
      </c>
      <c r="X9" s="366">
        <f t="shared" si="9"/>
        <v>0.003012131566098031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f>705817+7544.5</f>
        <v>713361.5</v>
      </c>
      <c r="E10" s="103">
        <f t="shared" si="10"/>
        <v>713361.5</v>
      </c>
      <c r="F10" s="140">
        <v>709899.75</v>
      </c>
      <c r="G10" s="103">
        <f aca="true" t="shared" si="11" ref="G10:G47">F10-E10</f>
        <v>-3461.75</v>
      </c>
      <c r="H10" s="376">
        <f t="shared" si="0"/>
        <v>0.9951472710540168</v>
      </c>
      <c r="I10" s="104">
        <f t="shared" si="1"/>
        <v>-3461.75</v>
      </c>
      <c r="J10" s="109">
        <f t="shared" si="2"/>
        <v>0.9951472710540168</v>
      </c>
      <c r="K10" s="104"/>
      <c r="L10" s="104"/>
      <c r="M10" s="104"/>
      <c r="N10" s="104">
        <v>476189.93</v>
      </c>
      <c r="O10" s="104">
        <f t="shared" si="3"/>
        <v>237171.57</v>
      </c>
      <c r="P10" s="109">
        <f t="shared" si="4"/>
        <v>1.4980608682758159</v>
      </c>
      <c r="Q10" s="106">
        <f t="shared" si="5"/>
        <v>476189.93</v>
      </c>
      <c r="R10" s="106">
        <f t="shared" si="6"/>
        <v>233709.82</v>
      </c>
      <c r="S10" s="207">
        <f t="shared" si="7"/>
        <v>1.490791184937489</v>
      </c>
      <c r="T10" s="105">
        <f>E10-листопад!E10</f>
        <v>87047.5</v>
      </c>
      <c r="U10" s="144">
        <f>F10-листопад!F10</f>
        <v>78262.39000000001</v>
      </c>
      <c r="V10" s="106">
        <f aca="true" t="shared" si="12" ref="V10:V52">U10-T10</f>
        <v>-8785.109999999986</v>
      </c>
      <c r="W10" s="109">
        <f t="shared" si="8"/>
        <v>0.8990768258709327</v>
      </c>
      <c r="X10" s="364">
        <f t="shared" si="9"/>
        <v>-0.007269683338326782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42516.41</v>
      </c>
      <c r="G11" s="103">
        <f t="shared" si="11"/>
        <v>510.4100000000035</v>
      </c>
      <c r="H11" s="376">
        <f t="shared" si="0"/>
        <v>1.012150883207161</v>
      </c>
      <c r="I11" s="104">
        <f t="shared" si="1"/>
        <v>510.4100000000035</v>
      </c>
      <c r="J11" s="109">
        <f t="shared" si="2"/>
        <v>1.012150883207161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115.08000000000175</v>
      </c>
      <c r="S11" s="207">
        <f t="shared" si="7"/>
        <v>1.0027140658087847</v>
      </c>
      <c r="T11" s="105">
        <f>E11-листопад!E11</f>
        <v>0</v>
      </c>
      <c r="U11" s="144">
        <f>F11-листопад!F11</f>
        <v>5033.6700000000055</v>
      </c>
      <c r="V11" s="106">
        <f t="shared" si="12"/>
        <v>5033.6700000000055</v>
      </c>
      <c r="W11" s="109" t="e">
        <f t="shared" si="8"/>
        <v>#DIV/0!</v>
      </c>
      <c r="X11" s="364">
        <f t="shared" si="9"/>
        <v>0.012037594103769922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11992.15</v>
      </c>
      <c r="G12" s="103">
        <f t="shared" si="11"/>
        <v>3712.1499999999996</v>
      </c>
      <c r="H12" s="376">
        <f t="shared" si="0"/>
        <v>1.4483272946859902</v>
      </c>
      <c r="I12" s="104">
        <f t="shared" si="1"/>
        <v>3712.1499999999996</v>
      </c>
      <c r="J12" s="109">
        <f t="shared" si="2"/>
        <v>1.4483272946859902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1328.2299999999996</v>
      </c>
      <c r="S12" s="207">
        <f t="shared" si="7"/>
        <v>1.1245536350610281</v>
      </c>
      <c r="T12" s="105">
        <f>E12-листопад!E12</f>
        <v>780</v>
      </c>
      <c r="U12" s="144">
        <f>F12-листопад!F12</f>
        <v>2521.119999999999</v>
      </c>
      <c r="V12" s="106">
        <f t="shared" si="12"/>
        <v>1741.119999999999</v>
      </c>
      <c r="W12" s="109">
        <f t="shared" si="8"/>
        <v>3.232205128205127</v>
      </c>
      <c r="X12" s="364">
        <f t="shared" si="9"/>
        <v>0.3481036992025446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10036.81</v>
      </c>
      <c r="G13" s="103">
        <f t="shared" si="11"/>
        <v>646.8099999999995</v>
      </c>
      <c r="H13" s="376">
        <f t="shared" si="0"/>
        <v>1.0688828541001065</v>
      </c>
      <c r="I13" s="104">
        <f t="shared" si="1"/>
        <v>646.8099999999995</v>
      </c>
      <c r="J13" s="109">
        <f t="shared" si="2"/>
        <v>1.0688828541001065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504.1700000000001</v>
      </c>
      <c r="S13" s="207">
        <f t="shared" si="7"/>
        <v>1.0528888114939827</v>
      </c>
      <c r="T13" s="105">
        <f>E13-листопад!E13</f>
        <v>600</v>
      </c>
      <c r="U13" s="144">
        <f>F13-листопад!F13</f>
        <v>439.21999999999935</v>
      </c>
      <c r="V13" s="106">
        <f t="shared" si="12"/>
        <v>-160.78000000000065</v>
      </c>
      <c r="W13" s="109">
        <f t="shared" si="8"/>
        <v>0.7320333333333322</v>
      </c>
      <c r="X13" s="364">
        <f t="shared" si="9"/>
        <v>0.06785213749811159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1376.68</v>
      </c>
      <c r="G14" s="103">
        <f t="shared" si="11"/>
        <v>224.68000000000006</v>
      </c>
      <c r="H14" s="376">
        <f t="shared" si="0"/>
        <v>1.1950347222222222</v>
      </c>
      <c r="I14" s="104">
        <f t="shared" si="1"/>
        <v>224.68000000000006</v>
      </c>
      <c r="J14" s="109">
        <f t="shared" si="2"/>
        <v>1.1950347222222222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-1744.05</v>
      </c>
      <c r="S14" s="207">
        <f t="shared" si="7"/>
        <v>0.4411403742073169</v>
      </c>
      <c r="T14" s="105">
        <f>E14-листопад!E14</f>
        <v>96</v>
      </c>
      <c r="U14" s="144">
        <f>F14-листопад!F14</f>
        <v>124.21000000000004</v>
      </c>
      <c r="V14" s="106">
        <f t="shared" si="12"/>
        <v>28.210000000000036</v>
      </c>
      <c r="W14" s="109">
        <f t="shared" si="8"/>
        <v>1.293854166666667</v>
      </c>
      <c r="X14" s="364">
        <f t="shared" si="9"/>
        <v>0.07199597530065083</v>
      </c>
    </row>
    <row r="15" spans="1:24" s="6" customFormat="1" ht="30.75">
      <c r="A15" s="8"/>
      <c r="B15" s="131" t="s">
        <v>11</v>
      </c>
      <c r="C15" s="43">
        <v>11020200</v>
      </c>
      <c r="D15" s="150">
        <f>451+436.5</f>
        <v>887.5</v>
      </c>
      <c r="E15" s="150">
        <f t="shared" si="10"/>
        <v>887.5</v>
      </c>
      <c r="F15" s="156">
        <v>887.61</v>
      </c>
      <c r="G15" s="150">
        <f t="shared" si="11"/>
        <v>0.11000000000001364</v>
      </c>
      <c r="H15" s="375">
        <f t="shared" si="0"/>
        <v>1.0001239436619718</v>
      </c>
      <c r="I15" s="158">
        <f t="shared" si="1"/>
        <v>0.11000000000001364</v>
      </c>
      <c r="J15" s="158">
        <f aca="true" t="shared" si="13" ref="J15:J23">F15/D15*100</f>
        <v>100.01239436619717</v>
      </c>
      <c r="K15" s="158"/>
      <c r="L15" s="158"/>
      <c r="M15" s="158"/>
      <c r="N15" s="158">
        <v>459.29</v>
      </c>
      <c r="O15" s="158">
        <f t="shared" si="3"/>
        <v>428.21</v>
      </c>
      <c r="P15" s="210">
        <f t="shared" si="4"/>
        <v>1.9323303359533193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436.5</v>
      </c>
      <c r="U15" s="160">
        <f>F15-листопад!F15</f>
        <v>0</v>
      </c>
      <c r="V15" s="161">
        <f t="shared" si="12"/>
        <v>-436.5</v>
      </c>
      <c r="W15" s="210">
        <f t="shared" si="8"/>
        <v>0</v>
      </c>
      <c r="X15" s="363">
        <f t="shared" si="9"/>
        <v>0.00023950009797735206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120">
        <v>13030200</v>
      </c>
      <c r="D18" s="150">
        <f>125+95</f>
        <v>220</v>
      </c>
      <c r="E18" s="150">
        <f t="shared" si="10"/>
        <v>220</v>
      </c>
      <c r="F18" s="156">
        <v>220.59</v>
      </c>
      <c r="G18" s="150">
        <f t="shared" si="11"/>
        <v>0.5900000000000034</v>
      </c>
      <c r="H18" s="375">
        <f aca="true" t="shared" si="14" ref="H18:H41">F18/E18</f>
        <v>1.0026818181818182</v>
      </c>
      <c r="I18" s="158">
        <f t="shared" si="1"/>
        <v>0.5900000000000034</v>
      </c>
      <c r="J18" s="158">
        <f t="shared" si="13"/>
        <v>100.26818181818183</v>
      </c>
      <c r="K18" s="158"/>
      <c r="L18" s="158"/>
      <c r="M18" s="158"/>
      <c r="N18" s="158">
        <v>124.7</v>
      </c>
      <c r="O18" s="158">
        <f t="shared" si="3"/>
        <v>95.3</v>
      </c>
      <c r="P18" s="210">
        <f t="shared" si="4"/>
        <v>1.764234161988773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95</v>
      </c>
      <c r="U18" s="160">
        <f>F18-листопад!F18</f>
        <v>0</v>
      </c>
      <c r="V18" s="161">
        <f t="shared" si="12"/>
        <v>-95</v>
      </c>
      <c r="W18" s="210">
        <f aca="true" t="shared" si="15" ref="W18:W25">U18/T18</f>
        <v>0</v>
      </c>
      <c r="X18" s="363">
        <f t="shared" si="9"/>
        <v>0.004731355252606484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121950.14</v>
      </c>
      <c r="G19" s="150">
        <f t="shared" si="11"/>
        <v>-3749.8600000000006</v>
      </c>
      <c r="H19" s="375">
        <f t="shared" si="14"/>
        <v>0.9701681782020685</v>
      </c>
      <c r="I19" s="158">
        <f t="shared" si="1"/>
        <v>-3749.8600000000006</v>
      </c>
      <c r="J19" s="158">
        <f t="shared" si="13"/>
        <v>97.01681782020685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20150.42</v>
      </c>
      <c r="S19" s="208">
        <f t="shared" si="7"/>
        <v>1.197941801804563</v>
      </c>
      <c r="T19" s="157">
        <f>E19-листопад!E19</f>
        <v>8800</v>
      </c>
      <c r="U19" s="160">
        <f>F19-листопад!F19</f>
        <v>10478.199999999997</v>
      </c>
      <c r="V19" s="161">
        <f t="shared" si="12"/>
        <v>1678.199999999997</v>
      </c>
      <c r="W19" s="210">
        <f t="shared" si="15"/>
        <v>1.190704545454545</v>
      </c>
      <c r="X19" s="363">
        <f t="shared" si="9"/>
        <v>-0.03683566123757509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60736.45</v>
      </c>
      <c r="G20" s="253">
        <f t="shared" si="11"/>
        <v>-2663.550000000003</v>
      </c>
      <c r="H20" s="378">
        <f t="shared" si="14"/>
        <v>0.9579881703470031</v>
      </c>
      <c r="I20" s="254">
        <f t="shared" si="1"/>
        <v>-2663.550000000003</v>
      </c>
      <c r="J20" s="254">
        <f t="shared" si="13"/>
        <v>95.7988170347003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-41063.270000000004</v>
      </c>
      <c r="S20" s="256">
        <f t="shared" si="7"/>
        <v>0.5966268865965446</v>
      </c>
      <c r="T20" s="195">
        <f>E20-листопад!E20</f>
        <v>0</v>
      </c>
      <c r="U20" s="179">
        <f>F20-листопад!F20</f>
        <v>4289.43</v>
      </c>
      <c r="V20" s="166">
        <f t="shared" si="12"/>
        <v>4289.43</v>
      </c>
      <c r="W20" s="305" t="e">
        <f t="shared" si="15"/>
        <v>#DIV/0!</v>
      </c>
      <c r="X20" s="363">
        <f t="shared" si="9"/>
        <v>-0.026164610275941858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12528.71</v>
      </c>
      <c r="G21" s="253">
        <f t="shared" si="11"/>
        <v>328.7099999999991</v>
      </c>
      <c r="H21" s="378">
        <f t="shared" si="14"/>
        <v>1.0269434426229507</v>
      </c>
      <c r="I21" s="254">
        <f t="shared" si="1"/>
        <v>328.7099999999991</v>
      </c>
      <c r="J21" s="254">
        <f t="shared" si="13"/>
        <v>102.69434426229506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12528.71</v>
      </c>
      <c r="S21" s="256"/>
      <c r="T21" s="195">
        <f>E21-листопад!E21</f>
        <v>1000</v>
      </c>
      <c r="U21" s="179">
        <f>F21-листопад!F21</f>
        <v>1346.3099999999995</v>
      </c>
      <c r="V21" s="166">
        <f t="shared" si="12"/>
        <v>346.3099999999995</v>
      </c>
      <c r="W21" s="305">
        <f t="shared" si="15"/>
        <v>1.3463099999999995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48684.98</v>
      </c>
      <c r="G22" s="253">
        <f t="shared" si="11"/>
        <v>-1415.0199999999968</v>
      </c>
      <c r="H22" s="378">
        <f t="shared" si="14"/>
        <v>0.9717560878243514</v>
      </c>
      <c r="I22" s="254">
        <f t="shared" si="1"/>
        <v>-1415.0199999999968</v>
      </c>
      <c r="J22" s="254">
        <f t="shared" si="13"/>
        <v>97.17560878243515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48684.98</v>
      </c>
      <c r="S22" s="256"/>
      <c r="T22" s="195">
        <f>E22-листопад!E22</f>
        <v>7800</v>
      </c>
      <c r="U22" s="179">
        <f>F22-листопад!F22</f>
        <v>4842.460000000006</v>
      </c>
      <c r="V22" s="166">
        <f t="shared" si="12"/>
        <v>-2957.5399999999936</v>
      </c>
      <c r="W22" s="305">
        <f t="shared" si="15"/>
        <v>0.6208282051282059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429949.1</v>
      </c>
      <c r="E23" s="150">
        <f>E24+E43+E47+E42</f>
        <v>429949.1</v>
      </c>
      <c r="F23" s="223">
        <v>430705.5</v>
      </c>
      <c r="G23" s="150">
        <f t="shared" si="11"/>
        <v>756.4000000000233</v>
      </c>
      <c r="H23" s="375">
        <f t="shared" si="14"/>
        <v>1.001759278016863</v>
      </c>
      <c r="I23" s="158">
        <f t="shared" si="1"/>
        <v>756.4000000000233</v>
      </c>
      <c r="J23" s="158">
        <f t="shared" si="13"/>
        <v>100.1759278016863</v>
      </c>
      <c r="K23" s="158"/>
      <c r="L23" s="158"/>
      <c r="M23" s="158"/>
      <c r="N23" s="158">
        <v>340503.51</v>
      </c>
      <c r="O23" s="158">
        <f aca="true" t="shared" si="16" ref="O23:O51">D23-N23</f>
        <v>89445.58999999997</v>
      </c>
      <c r="P23" s="210">
        <f aca="true" t="shared" si="17" ref="P23:P51">D23/N23</f>
        <v>1.2626862495484994</v>
      </c>
      <c r="Q23" s="158">
        <f t="shared" si="5"/>
        <v>340503.51</v>
      </c>
      <c r="R23" s="161">
        <f t="shared" si="6"/>
        <v>90201.98999999999</v>
      </c>
      <c r="S23" s="209">
        <f aca="true" t="shared" si="18" ref="S23:S41">F23/Q23</f>
        <v>1.2649076657095253</v>
      </c>
      <c r="T23" s="157">
        <f>E23-листопад!E23</f>
        <v>50525.5</v>
      </c>
      <c r="U23" s="160">
        <f>F23-листопад!F23</f>
        <v>26534.830000000016</v>
      </c>
      <c r="V23" s="161">
        <f t="shared" si="12"/>
        <v>-23990.669999999984</v>
      </c>
      <c r="W23" s="210">
        <f t="shared" si="15"/>
        <v>0.5251769898368154</v>
      </c>
      <c r="X23" s="363">
        <f>S23-P23</f>
        <v>0.002221416161025891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208931</v>
      </c>
      <c r="E24" s="150">
        <f>E25+E32+E35</f>
        <v>208931</v>
      </c>
      <c r="F24" s="223">
        <f>F25+F32+F35</f>
        <v>207231.02999999997</v>
      </c>
      <c r="G24" s="150">
        <f t="shared" si="11"/>
        <v>-1699.9700000000303</v>
      </c>
      <c r="H24" s="375">
        <f t="shared" si="14"/>
        <v>0.9918634860312734</v>
      </c>
      <c r="I24" s="158">
        <f t="shared" si="1"/>
        <v>-1699.9700000000303</v>
      </c>
      <c r="J24" s="210">
        <f aca="true" t="shared" si="19" ref="J24:J41">F24/D24</f>
        <v>0.9918634860312734</v>
      </c>
      <c r="K24" s="158"/>
      <c r="L24" s="158"/>
      <c r="M24" s="158"/>
      <c r="N24" s="158">
        <v>182295.05</v>
      </c>
      <c r="O24" s="158">
        <f t="shared" si="16"/>
        <v>26635.95000000001</v>
      </c>
      <c r="P24" s="210">
        <f t="shared" si="17"/>
        <v>1.14611449954346</v>
      </c>
      <c r="Q24" s="158">
        <f t="shared" si="5"/>
        <v>182295.05</v>
      </c>
      <c r="R24" s="161">
        <f t="shared" si="6"/>
        <v>24935.97999999998</v>
      </c>
      <c r="S24" s="209">
        <f t="shared" si="18"/>
        <v>1.1367891229081644</v>
      </c>
      <c r="T24" s="157">
        <f>E24-листопад!E24</f>
        <v>17369.899999999994</v>
      </c>
      <c r="U24" s="160">
        <f>F24-листопад!F24</f>
        <v>15975.219999999972</v>
      </c>
      <c r="V24" s="161">
        <f t="shared" si="12"/>
        <v>-1394.6800000000221</v>
      </c>
      <c r="W24" s="210">
        <f t="shared" si="15"/>
        <v>0.9197070794880786</v>
      </c>
      <c r="X24" s="363">
        <f aca="true" t="shared" si="20" ref="X24:X99">S24-P24</f>
        <v>-0.009325376635295646</v>
      </c>
    </row>
    <row r="25" spans="1:25" s="6" customFormat="1" ht="18">
      <c r="A25" s="8"/>
      <c r="B25" s="50" t="s">
        <v>74</v>
      </c>
      <c r="C25" s="123"/>
      <c r="D25" s="253">
        <f>22809+2180</f>
        <v>24989</v>
      </c>
      <c r="E25" s="368">
        <f aca="true" t="shared" si="21" ref="E25:E45">D25</f>
        <v>24989</v>
      </c>
      <c r="F25" s="201">
        <v>25414.16</v>
      </c>
      <c r="G25" s="253">
        <f t="shared" si="11"/>
        <v>425.15999999999985</v>
      </c>
      <c r="H25" s="378">
        <f t="shared" si="14"/>
        <v>1.0170138861098883</v>
      </c>
      <c r="I25" s="254">
        <f t="shared" si="1"/>
        <v>425.15999999999985</v>
      </c>
      <c r="J25" s="305">
        <f t="shared" si="19"/>
        <v>1.0170138861098883</v>
      </c>
      <c r="K25" s="254"/>
      <c r="L25" s="254"/>
      <c r="M25" s="254"/>
      <c r="N25" s="254">
        <v>21482.16</v>
      </c>
      <c r="O25" s="254">
        <f t="shared" si="16"/>
        <v>3506.84</v>
      </c>
      <c r="P25" s="305">
        <f t="shared" si="17"/>
        <v>1.16324429200788</v>
      </c>
      <c r="Q25" s="304">
        <f t="shared" si="5"/>
        <v>21482.16</v>
      </c>
      <c r="R25" s="166">
        <f t="shared" si="6"/>
        <v>3932</v>
      </c>
      <c r="S25" s="215">
        <f t="shared" si="18"/>
        <v>1.1830355979100797</v>
      </c>
      <c r="T25" s="195">
        <f>E25-листопад!E25</f>
        <v>2724.9000000000015</v>
      </c>
      <c r="U25" s="179">
        <f>F25-листопад!F25</f>
        <v>903.9300000000003</v>
      </c>
      <c r="V25" s="166">
        <f t="shared" si="12"/>
        <v>-1820.9700000000012</v>
      </c>
      <c r="W25" s="305">
        <f t="shared" si="15"/>
        <v>0.3317296047561378</v>
      </c>
      <c r="X25" s="363">
        <f t="shared" si="20"/>
        <v>0.019791305902199685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1512.89</v>
      </c>
      <c r="G26" s="223">
        <f t="shared" si="11"/>
        <v>-309.40999999999985</v>
      </c>
      <c r="H26" s="379">
        <f t="shared" si="14"/>
        <v>0.8302090764418593</v>
      </c>
      <c r="I26" s="299">
        <f t="shared" si="1"/>
        <v>-309.40999999999985</v>
      </c>
      <c r="J26" s="341">
        <f t="shared" si="19"/>
        <v>0.8302090764418593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670.19</v>
      </c>
      <c r="S26" s="228">
        <f t="shared" si="18"/>
        <v>1.7952889521775246</v>
      </c>
      <c r="T26" s="237">
        <f>E26-листопад!E26</f>
        <v>55</v>
      </c>
      <c r="U26" s="237">
        <f>F26-листопад!F26</f>
        <v>105.1099999999999</v>
      </c>
      <c r="V26" s="299">
        <f t="shared" si="12"/>
        <v>50.1099999999999</v>
      </c>
      <c r="W26" s="341">
        <f aca="true" t="shared" si="22" ref="W26:W41">U26/T26*100</f>
        <v>191.10909090909072</v>
      </c>
      <c r="X26" s="363">
        <f t="shared" si="20"/>
        <v>-0.3671650646730744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23166.699999999997</v>
      </c>
      <c r="E27" s="199">
        <f t="shared" si="21"/>
        <v>23166.699999999997</v>
      </c>
      <c r="F27" s="199">
        <f>F30+F31</f>
        <v>23901.28</v>
      </c>
      <c r="G27" s="223">
        <f t="shared" si="11"/>
        <v>734.5800000000017</v>
      </c>
      <c r="H27" s="379">
        <f t="shared" si="14"/>
        <v>1.0317084435849733</v>
      </c>
      <c r="I27" s="299">
        <f t="shared" si="1"/>
        <v>734.5800000000017</v>
      </c>
      <c r="J27" s="341">
        <f t="shared" si="19"/>
        <v>1.0317084435849733</v>
      </c>
      <c r="K27" s="299"/>
      <c r="L27" s="299"/>
      <c r="M27" s="299"/>
      <c r="N27" s="299">
        <v>20639.46</v>
      </c>
      <c r="O27" s="299">
        <f t="shared" si="16"/>
        <v>2527.239999999998</v>
      </c>
      <c r="P27" s="341">
        <f t="shared" si="17"/>
        <v>1.1224470020048973</v>
      </c>
      <c r="Q27" s="200">
        <f t="shared" si="5"/>
        <v>20639.46</v>
      </c>
      <c r="R27" s="367">
        <f t="shared" si="6"/>
        <v>3261.8199999999997</v>
      </c>
      <c r="S27" s="228">
        <f t="shared" si="18"/>
        <v>1.1580380494450921</v>
      </c>
      <c r="T27" s="237">
        <f>E27-листопад!E27</f>
        <v>2669.899999999998</v>
      </c>
      <c r="U27" s="237">
        <f>F27-листопад!F27</f>
        <v>798.8199999999997</v>
      </c>
      <c r="V27" s="299">
        <f t="shared" si="12"/>
        <v>-1871.079999999998</v>
      </c>
      <c r="W27" s="341">
        <f t="shared" si="22"/>
        <v>29.91947263942471</v>
      </c>
      <c r="X27" s="363">
        <f t="shared" si="20"/>
        <v>0.03559104744019481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275.91</v>
      </c>
      <c r="G28" s="385">
        <f t="shared" si="11"/>
        <v>-646.3899999999999</v>
      </c>
      <c r="H28" s="387">
        <f t="shared" si="14"/>
        <v>0.2991542881925621</v>
      </c>
      <c r="I28" s="388">
        <f t="shared" si="1"/>
        <v>-646.3899999999999</v>
      </c>
      <c r="J28" s="389">
        <f t="shared" si="19"/>
        <v>0.2991542881925621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-119.28999999999996</v>
      </c>
      <c r="S28" s="389">
        <f t="shared" si="18"/>
        <v>0.6981528340080972</v>
      </c>
      <c r="T28" s="373">
        <f>E28-листопад!E28</f>
        <v>5</v>
      </c>
      <c r="U28" s="373">
        <f>F28-листопад!F28</f>
        <v>15.050000000000011</v>
      </c>
      <c r="V28" s="388">
        <f t="shared" si="12"/>
        <v>10.050000000000011</v>
      </c>
      <c r="W28" s="389">
        <f t="shared" si="22"/>
        <v>301.0000000000002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1236.98</v>
      </c>
      <c r="G29" s="385">
        <f t="shared" si="11"/>
        <v>336.98</v>
      </c>
      <c r="H29" s="387">
        <f t="shared" si="14"/>
        <v>1.3744222222222222</v>
      </c>
      <c r="I29" s="388">
        <f t="shared" si="1"/>
        <v>336.98</v>
      </c>
      <c r="J29" s="389">
        <f t="shared" si="19"/>
        <v>1.3744222222222222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789.48</v>
      </c>
      <c r="S29" s="389">
        <f t="shared" si="18"/>
        <v>2.7642011173184358</v>
      </c>
      <c r="T29" s="373">
        <f>E29-листопад!E29</f>
        <v>50</v>
      </c>
      <c r="U29" s="373">
        <f>F29-листопад!F29</f>
        <v>90.05999999999995</v>
      </c>
      <c r="V29" s="388">
        <f t="shared" si="12"/>
        <v>40.059999999999945</v>
      </c>
      <c r="W29" s="389">
        <f t="shared" si="22"/>
        <v>180.1199999999999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2220.25</v>
      </c>
      <c r="G30" s="385">
        <f t="shared" si="11"/>
        <v>201.1500000000001</v>
      </c>
      <c r="H30" s="387">
        <f t="shared" si="14"/>
        <v>1.099623594670893</v>
      </c>
      <c r="I30" s="388">
        <f t="shared" si="1"/>
        <v>201.1500000000001</v>
      </c>
      <c r="J30" s="389">
        <f t="shared" si="19"/>
        <v>1.099623594670893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252.24</v>
      </c>
      <c r="S30" s="389">
        <f t="shared" si="18"/>
        <v>1.128170080436583</v>
      </c>
      <c r="T30" s="373">
        <f>E30-листопад!E30</f>
        <v>0</v>
      </c>
      <c r="U30" s="373">
        <f>F30-листопад!F30</f>
        <v>123.38000000000011</v>
      </c>
      <c r="V30" s="388">
        <f t="shared" si="12"/>
        <v>123.38000000000011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f>18967.6+2180</f>
        <v>21147.6</v>
      </c>
      <c r="E31" s="386">
        <f t="shared" si="21"/>
        <v>21147.6</v>
      </c>
      <c r="F31" s="373">
        <v>21681.03</v>
      </c>
      <c r="G31" s="385">
        <f t="shared" si="11"/>
        <v>533.4300000000003</v>
      </c>
      <c r="H31" s="387">
        <f t="shared" si="14"/>
        <v>1.02522413890938</v>
      </c>
      <c r="I31" s="388">
        <f t="shared" si="1"/>
        <v>533.4300000000003</v>
      </c>
      <c r="J31" s="389">
        <f t="shared" si="19"/>
        <v>1.02522413890938</v>
      </c>
      <c r="K31" s="299"/>
      <c r="L31" s="299"/>
      <c r="M31" s="299"/>
      <c r="N31" s="388">
        <v>18671.45</v>
      </c>
      <c r="O31" s="388">
        <f t="shared" si="16"/>
        <v>2476.149999999998</v>
      </c>
      <c r="P31" s="389">
        <f t="shared" si="17"/>
        <v>1.132616909774013</v>
      </c>
      <c r="Q31" s="388">
        <f t="shared" si="5"/>
        <v>18671.45</v>
      </c>
      <c r="R31" s="388">
        <f t="shared" si="6"/>
        <v>3009.579999999998</v>
      </c>
      <c r="S31" s="389">
        <f t="shared" si="18"/>
        <v>1.1611861960372654</v>
      </c>
      <c r="T31" s="373">
        <f>E31-листопад!E31</f>
        <v>2669.899999999998</v>
      </c>
      <c r="U31" s="373">
        <f>F31-листопад!F31</f>
        <v>675.4399999999987</v>
      </c>
      <c r="V31" s="388"/>
      <c r="W31" s="389">
        <f t="shared" si="22"/>
        <v>25.298325779991732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645.26</v>
      </c>
      <c r="G32" s="253">
        <f t="shared" si="11"/>
        <v>-4.740000000000009</v>
      </c>
      <c r="H32" s="378">
        <f t="shared" si="14"/>
        <v>0.9927076923076923</v>
      </c>
      <c r="I32" s="254">
        <f t="shared" si="1"/>
        <v>-4.740000000000009</v>
      </c>
      <c r="J32" s="305">
        <f t="shared" si="19"/>
        <v>0.9927076923076923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-56.59000000000003</v>
      </c>
      <c r="S32" s="212">
        <f t="shared" si="18"/>
        <v>0.9193702358053715</v>
      </c>
      <c r="T32" s="195">
        <f>E32-листопад!E32</f>
        <v>5</v>
      </c>
      <c r="U32" s="179">
        <f>F32-листопад!F32</f>
        <v>188.88</v>
      </c>
      <c r="V32" s="166">
        <f t="shared" si="12"/>
        <v>183.88</v>
      </c>
      <c r="W32" s="305">
        <f>U32/T32</f>
        <v>37.775999999999996</v>
      </c>
      <c r="X32" s="364">
        <f t="shared" si="20"/>
        <v>-0.00675357982474889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241.36</v>
      </c>
      <c r="G33" s="103">
        <f t="shared" si="11"/>
        <v>-108.63999999999999</v>
      </c>
      <c r="H33" s="376">
        <f t="shared" si="14"/>
        <v>0.6896</v>
      </c>
      <c r="I33" s="104">
        <f t="shared" si="1"/>
        <v>-108.63999999999999</v>
      </c>
      <c r="J33" s="109">
        <f t="shared" si="19"/>
        <v>0.6896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-109.05000000000001</v>
      </c>
      <c r="S33" s="109">
        <f t="shared" si="18"/>
        <v>0.6887931280499986</v>
      </c>
      <c r="T33" s="105">
        <f>E33-листопад!E33</f>
        <v>0</v>
      </c>
      <c r="U33" s="144">
        <f>F33-листопад!F33</f>
        <v>174.83</v>
      </c>
      <c r="V33" s="106">
        <f t="shared" si="12"/>
        <v>174.83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403.91</v>
      </c>
      <c r="G34" s="103">
        <f t="shared" si="11"/>
        <v>103.91000000000003</v>
      </c>
      <c r="H34" s="376">
        <f t="shared" si="14"/>
        <v>1.3463666666666667</v>
      </c>
      <c r="I34" s="104">
        <f t="shared" si="1"/>
        <v>103.91000000000003</v>
      </c>
      <c r="J34" s="109">
        <f t="shared" si="19"/>
        <v>1.3463666666666667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52.47000000000003</v>
      </c>
      <c r="S34" s="109">
        <f t="shared" si="18"/>
        <v>1.1493000227634875</v>
      </c>
      <c r="T34" s="105">
        <f>E34-листопад!E34</f>
        <v>5</v>
      </c>
      <c r="U34" s="144">
        <f>F34-листопад!F34</f>
        <v>14.060000000000002</v>
      </c>
      <c r="V34" s="106"/>
      <c r="W34" s="109">
        <f>U34/T34</f>
        <v>2.8120000000000003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181171.61</v>
      </c>
      <c r="G35" s="150">
        <f t="shared" si="11"/>
        <v>-2120.390000000014</v>
      </c>
      <c r="H35" s="378">
        <f t="shared" si="14"/>
        <v>0.9884316282216353</v>
      </c>
      <c r="I35" s="254">
        <f t="shared" si="1"/>
        <v>-2120.390000000014</v>
      </c>
      <c r="J35" s="305">
        <f t="shared" si="19"/>
        <v>0.9884316282216353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21060.569999999978</v>
      </c>
      <c r="S35" s="211">
        <f t="shared" si="18"/>
        <v>1.131537275630712</v>
      </c>
      <c r="T35" s="195">
        <f>E35-листопад!E35</f>
        <v>14640</v>
      </c>
      <c r="U35" s="179">
        <f>F35-листопад!F35</f>
        <v>14882.409999999974</v>
      </c>
      <c r="V35" s="166">
        <f t="shared" si="12"/>
        <v>242.4099999999744</v>
      </c>
      <c r="W35" s="305">
        <f>U35/T35</f>
        <v>1.0165580601092878</v>
      </c>
      <c r="X35" s="364">
        <f t="shared" si="20"/>
        <v>-0.013243246686799548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58608.68</v>
      </c>
      <c r="G36" s="223">
        <f t="shared" si="11"/>
        <v>75.68000000000029</v>
      </c>
      <c r="H36" s="379">
        <f t="shared" si="14"/>
        <v>1.0012929458596005</v>
      </c>
      <c r="I36" s="299">
        <f t="shared" si="1"/>
        <v>75.68000000000029</v>
      </c>
      <c r="J36" s="341">
        <f t="shared" si="19"/>
        <v>1.0012929458596005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8696.71</v>
      </c>
      <c r="S36" s="228">
        <f t="shared" si="18"/>
        <v>1.1742409686494042</v>
      </c>
      <c r="T36" s="237">
        <f>E36-листопад!E36</f>
        <v>4800</v>
      </c>
      <c r="U36" s="237">
        <f>F36-листопад!F36</f>
        <v>4606.639999999999</v>
      </c>
      <c r="V36" s="299">
        <f t="shared" si="12"/>
        <v>-193.36000000000058</v>
      </c>
      <c r="W36" s="341">
        <f t="shared" si="22"/>
        <v>95.97166666666665</v>
      </c>
      <c r="X36" s="363">
        <f t="shared" si="20"/>
        <v>0.0015162695441595098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122562.93000000001</v>
      </c>
      <c r="G37" s="223">
        <f t="shared" si="11"/>
        <v>-2196.0699999999924</v>
      </c>
      <c r="H37" s="379">
        <f t="shared" si="14"/>
        <v>0.9823975023845976</v>
      </c>
      <c r="I37" s="299">
        <f t="shared" si="1"/>
        <v>-2196.0699999999924</v>
      </c>
      <c r="J37" s="341">
        <f t="shared" si="19"/>
        <v>0.9823975023845976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12363.87000000001</v>
      </c>
      <c r="S37" s="228">
        <f t="shared" si="18"/>
        <v>1.1121957846101411</v>
      </c>
      <c r="T37" s="237">
        <f>E37-листопад!E37</f>
        <v>9840</v>
      </c>
      <c r="U37" s="237">
        <f>F37-листопад!F37</f>
        <v>10275.779999999999</v>
      </c>
      <c r="V37" s="299">
        <f t="shared" si="12"/>
        <v>435.77999999999884</v>
      </c>
      <c r="W37" s="341">
        <f t="shared" si="22"/>
        <v>104.42865853658536</v>
      </c>
      <c r="X37" s="363">
        <f t="shared" si="20"/>
        <v>-0.019928209913950168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55246.24</v>
      </c>
      <c r="G38" s="385">
        <f t="shared" si="11"/>
        <v>278.23999999999796</v>
      </c>
      <c r="H38" s="387">
        <f t="shared" si="14"/>
        <v>1.0050618541696987</v>
      </c>
      <c r="I38" s="388">
        <f t="shared" si="1"/>
        <v>278.23999999999796</v>
      </c>
      <c r="J38" s="389">
        <f t="shared" si="19"/>
        <v>1.0050618541696987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8639.159999999996</v>
      </c>
      <c r="S38" s="389">
        <f t="shared" si="18"/>
        <v>1.1853615373458282</v>
      </c>
      <c r="T38" s="373">
        <f>E38-листопад!E38</f>
        <v>4600</v>
      </c>
      <c r="U38" s="373">
        <f>F38-листопад!F38</f>
        <v>4476.8299999999945</v>
      </c>
      <c r="V38" s="388">
        <f t="shared" si="12"/>
        <v>-123.17000000000553</v>
      </c>
      <c r="W38" s="389">
        <f t="shared" si="22"/>
        <v>97.3223913043477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102196.35</v>
      </c>
      <c r="G39" s="385">
        <f t="shared" si="11"/>
        <v>-1727.6499999999942</v>
      </c>
      <c r="H39" s="387">
        <f t="shared" si="14"/>
        <v>0.983375832339017</v>
      </c>
      <c r="I39" s="388">
        <f t="shared" si="1"/>
        <v>-1727.6499999999942</v>
      </c>
      <c r="J39" s="389">
        <f t="shared" si="19"/>
        <v>0.983375832339017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10838.960000000006</v>
      </c>
      <c r="S39" s="389">
        <f t="shared" si="18"/>
        <v>1.1186434945218993</v>
      </c>
      <c r="T39" s="373">
        <f>E39-листопад!E39</f>
        <v>8885</v>
      </c>
      <c r="U39" s="373">
        <f>F39-листопад!F39</f>
        <v>8513.14</v>
      </c>
      <c r="V39" s="388">
        <f t="shared" si="12"/>
        <v>-371.8600000000006</v>
      </c>
      <c r="W39" s="389">
        <f t="shared" si="22"/>
        <v>95.81474395047833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3362.44</v>
      </c>
      <c r="G40" s="385">
        <f t="shared" si="11"/>
        <v>-202.55999999999995</v>
      </c>
      <c r="H40" s="387">
        <f t="shared" si="14"/>
        <v>0.9431809256661992</v>
      </c>
      <c r="I40" s="388">
        <f t="shared" si="1"/>
        <v>-202.55999999999995</v>
      </c>
      <c r="J40" s="389">
        <f t="shared" si="19"/>
        <v>0.9431809256661992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57.55000000000018</v>
      </c>
      <c r="S40" s="389">
        <f t="shared" si="18"/>
        <v>1.0174135901648769</v>
      </c>
      <c r="T40" s="373">
        <f>E40-листопад!E40</f>
        <v>200</v>
      </c>
      <c r="U40" s="373">
        <f>F40-листопад!F40</f>
        <v>129.80999999999995</v>
      </c>
      <c r="V40" s="388">
        <f t="shared" si="12"/>
        <v>-70.19000000000005</v>
      </c>
      <c r="W40" s="389">
        <f t="shared" si="22"/>
        <v>64.90499999999997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20366.58</v>
      </c>
      <c r="G41" s="385">
        <f t="shared" si="11"/>
        <v>-468.41999999999825</v>
      </c>
      <c r="H41" s="387">
        <f t="shared" si="14"/>
        <v>0.9775176385889129</v>
      </c>
      <c r="I41" s="388">
        <f t="shared" si="1"/>
        <v>-468.41999999999825</v>
      </c>
      <c r="J41" s="389">
        <f t="shared" si="19"/>
        <v>0.9775176385889129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1524.9000000000015</v>
      </c>
      <c r="S41" s="389">
        <f t="shared" si="18"/>
        <v>1.0809322735552245</v>
      </c>
      <c r="T41" s="373">
        <f>E41-листопад!E41</f>
        <v>955</v>
      </c>
      <c r="U41" s="373">
        <f>F41-листопад!F41</f>
        <v>1762.640000000003</v>
      </c>
      <c r="V41" s="388">
        <f t="shared" si="12"/>
        <v>807.640000000003</v>
      </c>
      <c r="W41" s="389">
        <f t="shared" si="22"/>
        <v>184.56963350785372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156.82</v>
      </c>
      <c r="G43" s="150">
        <f t="shared" si="11"/>
        <v>41.81999999999999</v>
      </c>
      <c r="H43" s="375">
        <f>F43/E43</f>
        <v>1.3636521739130434</v>
      </c>
      <c r="I43" s="158">
        <f t="shared" si="1"/>
        <v>41.81999999999999</v>
      </c>
      <c r="J43" s="210">
        <f>F43/D43</f>
        <v>1.3636521739130434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39.139999999999986</v>
      </c>
      <c r="S43" s="210">
        <f aca="true" t="shared" si="23" ref="S43:S51">F43/Q43</f>
        <v>1.3325968728755948</v>
      </c>
      <c r="T43" s="157">
        <f>E43-листопад!E43</f>
        <v>7.5</v>
      </c>
      <c r="U43" s="160">
        <f>F43-листопад!F43</f>
        <v>0.01999999999998181</v>
      </c>
      <c r="V43" s="161">
        <f t="shared" si="12"/>
        <v>-7.480000000000018</v>
      </c>
      <c r="W43" s="210">
        <f>U43/T43</f>
        <v>0.0026666666666642414</v>
      </c>
      <c r="X43" s="363">
        <f t="shared" si="20"/>
        <v>0.3553704962610469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61.68</v>
      </c>
      <c r="G45" s="103">
        <f t="shared" si="11"/>
        <v>-1.3200000000000003</v>
      </c>
      <c r="H45" s="376">
        <f>F45/E45</f>
        <v>0.979047619047619</v>
      </c>
      <c r="I45" s="104">
        <f t="shared" si="1"/>
        <v>-1.3200000000000003</v>
      </c>
      <c r="J45" s="109">
        <f>F45/D45</f>
        <v>0.979047619047619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-2.460000000000001</v>
      </c>
      <c r="S45" s="109">
        <f t="shared" si="23"/>
        <v>0.961646398503274</v>
      </c>
      <c r="T45" s="105">
        <f>E45-листопад!E45</f>
        <v>4</v>
      </c>
      <c r="U45" s="144">
        <f>F45-листопад!F45</f>
        <v>0.020000000000003126</v>
      </c>
      <c r="V45" s="106">
        <f t="shared" si="12"/>
        <v>-3.979999999999997</v>
      </c>
      <c r="W45" s="109">
        <f>U45/T45</f>
        <v>0.005000000000000782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-50.78</v>
      </c>
      <c r="G46" s="150">
        <f t="shared" si="11"/>
        <v>-50.78</v>
      </c>
      <c r="H46" s="375"/>
      <c r="I46" s="158">
        <f t="shared" si="1"/>
        <v>-50.78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127.19</v>
      </c>
      <c r="S46" s="210">
        <f t="shared" si="23"/>
        <v>0.28532898803169077</v>
      </c>
      <c r="T46" s="157">
        <f>E46-листопад!E46</f>
        <v>0</v>
      </c>
      <c r="U46" s="160">
        <f>F46-листопад!F46</f>
        <v>-7.899999999999999</v>
      </c>
      <c r="V46" s="161">
        <f t="shared" si="12"/>
        <v>-7.899999999999999</v>
      </c>
      <c r="W46" s="210"/>
      <c r="X46" s="363">
        <f t="shared" si="20"/>
        <v>0.28532898803169077</v>
      </c>
    </row>
    <row r="47" spans="1:24" s="6" customFormat="1" ht="18">
      <c r="A47" s="8"/>
      <c r="B47" s="44" t="s">
        <v>84</v>
      </c>
      <c r="C47" s="114">
        <v>18050000</v>
      </c>
      <c r="D47" s="162">
        <f>194394.1+3300+23209</f>
        <v>220903.1</v>
      </c>
      <c r="E47" s="162">
        <f aca="true" t="shared" si="24" ref="E47:E52">D47</f>
        <v>220903.1</v>
      </c>
      <c r="F47" s="163">
        <v>223368.23</v>
      </c>
      <c r="G47" s="150">
        <f t="shared" si="11"/>
        <v>2465.1300000000047</v>
      </c>
      <c r="H47" s="375">
        <f>F47/E47*100</f>
        <v>101.11593273249674</v>
      </c>
      <c r="I47" s="158">
        <f t="shared" si="1"/>
        <v>2465.1300000000047</v>
      </c>
      <c r="J47" s="210">
        <f>F47/D47</f>
        <v>1.0111593273249675</v>
      </c>
      <c r="K47" s="158"/>
      <c r="L47" s="158"/>
      <c r="M47" s="158"/>
      <c r="N47" s="158">
        <v>158268.6</v>
      </c>
      <c r="O47" s="158">
        <f t="shared" si="16"/>
        <v>62634.5</v>
      </c>
      <c r="P47" s="210">
        <f t="shared" si="17"/>
        <v>1.3957481142816706</v>
      </c>
      <c r="Q47" s="178">
        <f t="shared" si="5"/>
        <v>158268.6</v>
      </c>
      <c r="R47" s="178">
        <f t="shared" si="6"/>
        <v>65099.630000000005</v>
      </c>
      <c r="S47" s="226">
        <f t="shared" si="23"/>
        <v>1.4113237243521457</v>
      </c>
      <c r="T47" s="157">
        <f>E47-листопад!E47</f>
        <v>33148.100000000006</v>
      </c>
      <c r="U47" s="160">
        <f>F47-листопад!F47</f>
        <v>10567.48000000001</v>
      </c>
      <c r="V47" s="161">
        <f t="shared" si="12"/>
        <v>-22580.619999999995</v>
      </c>
      <c r="W47" s="210">
        <f>U47/T47</f>
        <v>0.3187959490890883</v>
      </c>
      <c r="X47" s="363">
        <f t="shared" si="20"/>
        <v>0.015575610070475143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f>41000+3300</f>
        <v>44300</v>
      </c>
      <c r="E49" s="103">
        <f t="shared" si="24"/>
        <v>44300</v>
      </c>
      <c r="F49" s="140">
        <v>45030.34</v>
      </c>
      <c r="G49" s="103">
        <f>F49-E49</f>
        <v>730.3399999999965</v>
      </c>
      <c r="H49" s="376">
        <f>F49/E49</f>
        <v>1.0164862302483069</v>
      </c>
      <c r="I49" s="104">
        <f t="shared" si="1"/>
        <v>730.3399999999965</v>
      </c>
      <c r="J49" s="109">
        <f>F49/D49</f>
        <v>1.0164862302483069</v>
      </c>
      <c r="K49" s="104"/>
      <c r="L49" s="104"/>
      <c r="M49" s="104"/>
      <c r="N49" s="104">
        <v>39173.72</v>
      </c>
      <c r="O49" s="104">
        <f t="shared" si="16"/>
        <v>5126.279999999999</v>
      </c>
      <c r="P49" s="109">
        <f t="shared" si="17"/>
        <v>1.1308601787116463</v>
      </c>
      <c r="Q49" s="127">
        <f t="shared" si="5"/>
        <v>39173.72</v>
      </c>
      <c r="R49" s="127">
        <f t="shared" si="6"/>
        <v>5856.619999999995</v>
      </c>
      <c r="S49" s="216">
        <f t="shared" si="23"/>
        <v>1.149503799996528</v>
      </c>
      <c r="T49" s="105">
        <f>E49-листопад!E49</f>
        <v>4800</v>
      </c>
      <c r="U49" s="144">
        <f>F49-листопад!F49</f>
        <v>1716.229999999996</v>
      </c>
      <c r="V49" s="106">
        <f t="shared" si="12"/>
        <v>-3083.770000000004</v>
      </c>
      <c r="W49" s="109">
        <f>U49/T49</f>
        <v>0.3575479166666658</v>
      </c>
      <c r="X49" s="363">
        <f t="shared" si="20"/>
        <v>0.01864362128488173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f>153339.1+23209</f>
        <v>176548.1</v>
      </c>
      <c r="E50" s="103">
        <f t="shared" si="24"/>
        <v>176548.1</v>
      </c>
      <c r="F50" s="140">
        <v>178270.24</v>
      </c>
      <c r="G50" s="103">
        <f>F50-E50</f>
        <v>1722.1399999999849</v>
      </c>
      <c r="H50" s="376">
        <f>F50/E50</f>
        <v>1.0097545088279056</v>
      </c>
      <c r="I50" s="104">
        <f t="shared" si="1"/>
        <v>1722.1399999999849</v>
      </c>
      <c r="J50" s="109">
        <f>F50/D50</f>
        <v>1.0097545088279056</v>
      </c>
      <c r="K50" s="104"/>
      <c r="L50" s="104"/>
      <c r="M50" s="104"/>
      <c r="N50" s="104">
        <v>119039.46</v>
      </c>
      <c r="O50" s="104">
        <f t="shared" si="16"/>
        <v>57508.64</v>
      </c>
      <c r="P50" s="109">
        <f t="shared" si="17"/>
        <v>1.4831056861313046</v>
      </c>
      <c r="Q50" s="127">
        <f t="shared" si="5"/>
        <v>119039.46</v>
      </c>
      <c r="R50" s="127">
        <f t="shared" si="6"/>
        <v>59230.779999999984</v>
      </c>
      <c r="S50" s="216">
        <f t="shared" si="23"/>
        <v>1.4975726536393896</v>
      </c>
      <c r="T50" s="105">
        <f>E50-листопад!E50</f>
        <v>28348.100000000006</v>
      </c>
      <c r="U50" s="144">
        <f>F50-листопад!F50</f>
        <v>8848.589999999997</v>
      </c>
      <c r="V50" s="106">
        <f t="shared" si="12"/>
        <v>-19499.51000000001</v>
      </c>
      <c r="W50" s="109">
        <f>U50/T50</f>
        <v>0.3121404961884569</v>
      </c>
      <c r="X50" s="363">
        <f t="shared" si="20"/>
        <v>0.014466967508085071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67.63</v>
      </c>
      <c r="G51" s="103">
        <f>F51-E51</f>
        <v>12.629999999999995</v>
      </c>
      <c r="H51" s="376">
        <f>F51/E51</f>
        <v>1.2296363636363636</v>
      </c>
      <c r="I51" s="104">
        <f t="shared" si="1"/>
        <v>12.629999999999995</v>
      </c>
      <c r="J51" s="109">
        <f>F51/D51</f>
        <v>1.2296363636363636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12.449999999999996</v>
      </c>
      <c r="S51" s="216">
        <f t="shared" si="23"/>
        <v>1.2256252265313519</v>
      </c>
      <c r="T51" s="105">
        <f>E51-листопад!E51</f>
        <v>0</v>
      </c>
      <c r="U51" s="144">
        <f>F51-листопад!F51</f>
        <v>2.6599999999999966</v>
      </c>
      <c r="V51" s="106">
        <f t="shared" si="12"/>
        <v>2.6599999999999966</v>
      </c>
      <c r="W51" s="109"/>
      <c r="X51" s="363">
        <f t="shared" si="20"/>
        <v>0.228887277999275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67930</v>
      </c>
      <c r="E53" s="151">
        <f>E54+E55+E56+E57+E58+E60+E62+E63+E64+E65+E66+E71+E72+E76+E59+E61</f>
        <v>67930</v>
      </c>
      <c r="F53" s="151">
        <f>F54+F55+F56+F57+F58+F60+F62+F63+F64+F65+F66+F71+F72+F76+F59+F61</f>
        <v>69380.98000000001</v>
      </c>
      <c r="G53" s="151">
        <f>G54+G55+G56+G57+G58+G60+G62+G63+G64+G65+G66+G71+G72+G76+G59+G61</f>
        <v>1450.9800000000005</v>
      </c>
      <c r="H53" s="205">
        <f aca="true" t="shared" si="25" ref="H53:H72">F53/E53</f>
        <v>1.0213599293390256</v>
      </c>
      <c r="I53" s="153">
        <f>F53-D53</f>
        <v>1450.9800000000105</v>
      </c>
      <c r="J53" s="219">
        <f aca="true" t="shared" si="26" ref="J53:J72">F53/D53</f>
        <v>1.0213599293390256</v>
      </c>
      <c r="K53" s="153"/>
      <c r="L53" s="153"/>
      <c r="M53" s="153"/>
      <c r="N53" s="153">
        <v>68752.68</v>
      </c>
      <c r="O53" s="153">
        <f>D53-N53</f>
        <v>-822.679999999993</v>
      </c>
      <c r="P53" s="219">
        <f>D53/N53</f>
        <v>0.9880342119027216</v>
      </c>
      <c r="Q53" s="287">
        <f>N53</f>
        <v>68752.68</v>
      </c>
      <c r="R53" s="151">
        <f t="shared" si="6"/>
        <v>628.3000000000175</v>
      </c>
      <c r="S53" s="205">
        <f>F53/Q53</f>
        <v>1.0091385528535035</v>
      </c>
      <c r="T53" s="151">
        <f>T54+T55+T56+T57+T58+T60+T62+T63+T64+T65+T66+T71+T72+T76+T59+T61</f>
        <v>5752.1</v>
      </c>
      <c r="U53" s="151">
        <f>U54+U55+U56+U57+U58+U60+U62+U63+U64+U65+U66+U71+U72+U76+U59+U61</f>
        <v>6691.050000000001</v>
      </c>
      <c r="V53" s="151">
        <f>V54+V55+V56+V57+V58+V60+V62+V63+V64+V65+V66+V71+V72+V76</f>
        <v>938.9000000000019</v>
      </c>
      <c r="W53" s="205">
        <f>U53/T53</f>
        <v>1.1632360355348483</v>
      </c>
      <c r="X53" s="363">
        <f t="shared" si="20"/>
        <v>0.021104340950781952</v>
      </c>
    </row>
    <row r="54" spans="1:24" s="6" customFormat="1" ht="46.5">
      <c r="A54" s="8"/>
      <c r="B54" s="225" t="s">
        <v>98</v>
      </c>
      <c r="C54" s="43">
        <v>21010301</v>
      </c>
      <c r="D54" s="150">
        <f>580+2053</f>
        <v>2633</v>
      </c>
      <c r="E54" s="150">
        <f>D54</f>
        <v>2633</v>
      </c>
      <c r="F54" s="156">
        <v>2633.96</v>
      </c>
      <c r="G54" s="150">
        <f aca="true" t="shared" si="27" ref="G54:G78">F54-E54</f>
        <v>0.9600000000000364</v>
      </c>
      <c r="H54" s="380">
        <f t="shared" si="25"/>
        <v>1.0003646031143183</v>
      </c>
      <c r="I54" s="165">
        <f>F54-D54</f>
        <v>0.9600000000000364</v>
      </c>
      <c r="J54" s="218">
        <f t="shared" si="26"/>
        <v>1.0003646031143183</v>
      </c>
      <c r="K54" s="165"/>
      <c r="L54" s="165"/>
      <c r="M54" s="165"/>
      <c r="N54" s="165">
        <v>551.04</v>
      </c>
      <c r="O54" s="165">
        <f>D54-N54</f>
        <v>2081.96</v>
      </c>
      <c r="P54" s="218">
        <f>D54/N54</f>
        <v>4.778237514518002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2053</v>
      </c>
      <c r="U54" s="160">
        <f>F54-листопад!F54</f>
        <v>0</v>
      </c>
      <c r="V54" s="161">
        <f aca="true" t="shared" si="28" ref="V54:V78">U54-T54</f>
        <v>-2053</v>
      </c>
      <c r="W54" s="218">
        <f>U54/T54</f>
        <v>0</v>
      </c>
      <c r="X54" s="363">
        <f t="shared" si="20"/>
        <v>0.0017421602787459634</v>
      </c>
    </row>
    <row r="55" spans="1:24" s="6" customFormat="1" ht="30.75">
      <c r="A55" s="8"/>
      <c r="B55" s="129" t="s">
        <v>77</v>
      </c>
      <c r="C55" s="42">
        <v>21050000</v>
      </c>
      <c r="D55" s="150">
        <f>26400+1000</f>
        <v>27400</v>
      </c>
      <c r="E55" s="150">
        <f aca="true" t="shared" si="29" ref="E55:E65">D55</f>
        <v>27400</v>
      </c>
      <c r="F55" s="156">
        <v>27997.6</v>
      </c>
      <c r="G55" s="150">
        <f t="shared" si="27"/>
        <v>597.5999999999985</v>
      </c>
      <c r="H55" s="380">
        <f t="shared" si="25"/>
        <v>1.0218102189781022</v>
      </c>
      <c r="I55" s="165">
        <f aca="true" t="shared" si="30" ref="I55:I78">F55-D55</f>
        <v>597.5999999999985</v>
      </c>
      <c r="J55" s="218">
        <f t="shared" si="26"/>
        <v>1.0218102189781022</v>
      </c>
      <c r="K55" s="165"/>
      <c r="L55" s="165"/>
      <c r="M55" s="165"/>
      <c r="N55" s="165">
        <v>36136.57</v>
      </c>
      <c r="O55" s="165">
        <f aca="true" t="shared" si="31" ref="O55:O72">D55-N55</f>
        <v>-8736.57</v>
      </c>
      <c r="P55" s="218">
        <f aca="true" t="shared" si="32" ref="P55:P72">D55/N55</f>
        <v>0.7582346636661974</v>
      </c>
      <c r="Q55" s="165">
        <f aca="true" t="shared" si="33" ref="Q55:Q66">N55</f>
        <v>36136.57</v>
      </c>
      <c r="R55" s="165">
        <f t="shared" si="6"/>
        <v>-8138.970000000001</v>
      </c>
      <c r="S55" s="218">
        <f aca="true" t="shared" si="34" ref="S55:S78">F55/Q55</f>
        <v>0.7747719277175448</v>
      </c>
      <c r="T55" s="157">
        <f>E55-листопад!E55</f>
        <v>1000</v>
      </c>
      <c r="U55" s="160">
        <f>F55-листопад!F55</f>
        <v>3307.459999999999</v>
      </c>
      <c r="V55" s="161">
        <f t="shared" si="28"/>
        <v>2307.459999999999</v>
      </c>
      <c r="W55" s="218">
        <f aca="true" t="shared" si="35" ref="W55:W77">U55/T55</f>
        <v>3.307459999999999</v>
      </c>
      <c r="X55" s="363">
        <f t="shared" si="20"/>
        <v>0.016537264051347367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153.3</v>
      </c>
      <c r="G56" s="150">
        <f t="shared" si="27"/>
        <v>113.30000000000001</v>
      </c>
      <c r="H56" s="380">
        <f t="shared" si="25"/>
        <v>3.8325000000000005</v>
      </c>
      <c r="I56" s="165">
        <f t="shared" si="30"/>
        <v>113.30000000000001</v>
      </c>
      <c r="J56" s="218">
        <f t="shared" si="26"/>
        <v>3.8325000000000005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121.32000000000001</v>
      </c>
      <c r="S56" s="218">
        <f t="shared" si="34"/>
        <v>4.793621013133208</v>
      </c>
      <c r="T56" s="157">
        <f>E56-листопад!E56</f>
        <v>13</v>
      </c>
      <c r="U56" s="160">
        <f>F56-листопад!F56</f>
        <v>10</v>
      </c>
      <c r="V56" s="161">
        <f t="shared" si="28"/>
        <v>-3</v>
      </c>
      <c r="W56" s="218">
        <f t="shared" si="35"/>
        <v>0.7692307692307693</v>
      </c>
      <c r="X56" s="363">
        <f t="shared" si="20"/>
        <v>3.5428392745465915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705.31</v>
      </c>
      <c r="G58" s="150">
        <f t="shared" si="27"/>
        <v>45.309999999999945</v>
      </c>
      <c r="H58" s="380">
        <f t="shared" si="25"/>
        <v>1.068651515151515</v>
      </c>
      <c r="I58" s="165">
        <f t="shared" si="30"/>
        <v>45.309999999999945</v>
      </c>
      <c r="J58" s="218">
        <f t="shared" si="26"/>
        <v>1.068651515151515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464.23999999999995</v>
      </c>
      <c r="S58" s="218">
        <f t="shared" si="34"/>
        <v>2.9257477081345664</v>
      </c>
      <c r="T58" s="157">
        <f>E58-листопад!E58</f>
        <v>22</v>
      </c>
      <c r="U58" s="160">
        <f>F58-листопад!F58</f>
        <v>34.70999999999992</v>
      </c>
      <c r="V58" s="161">
        <f t="shared" si="28"/>
        <v>12.709999999999923</v>
      </c>
      <c r="W58" s="218">
        <f t="shared" si="35"/>
        <v>1.5777272727272693</v>
      </c>
      <c r="X58" s="363">
        <f t="shared" si="20"/>
        <v>0.18795370639233377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114.3</v>
      </c>
      <c r="G59" s="150">
        <f t="shared" si="27"/>
        <v>16.799999999999997</v>
      </c>
      <c r="H59" s="380">
        <f t="shared" si="25"/>
        <v>1.1723076923076923</v>
      </c>
      <c r="I59" s="165">
        <f t="shared" si="30"/>
        <v>16.799999999999997</v>
      </c>
      <c r="J59" s="218">
        <f t="shared" si="26"/>
        <v>1.1723076923076923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27.929999999999993</v>
      </c>
      <c r="S59" s="218">
        <f t="shared" si="34"/>
        <v>1.3233761722820423</v>
      </c>
      <c r="T59" s="157">
        <f>E59-листопад!E59</f>
        <v>9.099999999999994</v>
      </c>
      <c r="U59" s="160">
        <f>F59-листопад!F59</f>
        <v>9.149999999999991</v>
      </c>
      <c r="V59" s="161">
        <f t="shared" si="28"/>
        <v>0.04999999999999716</v>
      </c>
      <c r="W59" s="218">
        <f t="shared" si="35"/>
        <v>1.0054945054945053</v>
      </c>
      <c r="X59" s="363">
        <f t="shared" si="20"/>
        <v>0.19451198332754416</v>
      </c>
    </row>
    <row r="60" spans="1:24" s="6" customFormat="1" ht="30.75">
      <c r="A60" s="8"/>
      <c r="B60" s="349" t="s">
        <v>105</v>
      </c>
      <c r="C60" s="49">
        <v>22010300</v>
      </c>
      <c r="D60" s="150">
        <f>980+193</f>
        <v>1173</v>
      </c>
      <c r="E60" s="150">
        <f t="shared" si="29"/>
        <v>1173</v>
      </c>
      <c r="F60" s="156">
        <v>1205.14</v>
      </c>
      <c r="G60" s="150">
        <f t="shared" si="27"/>
        <v>32.1400000000001</v>
      </c>
      <c r="H60" s="380">
        <f t="shared" si="25"/>
        <v>1.0273998294970164</v>
      </c>
      <c r="I60" s="165">
        <f t="shared" si="30"/>
        <v>32.1400000000001</v>
      </c>
      <c r="J60" s="218">
        <f t="shared" si="26"/>
        <v>1.0273998294970164</v>
      </c>
      <c r="K60" s="165"/>
      <c r="L60" s="165"/>
      <c r="M60" s="165"/>
      <c r="N60" s="165">
        <v>791.33</v>
      </c>
      <c r="O60" s="165">
        <f t="shared" si="31"/>
        <v>381.66999999999996</v>
      </c>
      <c r="P60" s="218">
        <f t="shared" si="32"/>
        <v>1.4823145843074317</v>
      </c>
      <c r="Q60" s="165">
        <f t="shared" si="33"/>
        <v>791.33</v>
      </c>
      <c r="R60" s="165">
        <f t="shared" si="6"/>
        <v>413.81000000000006</v>
      </c>
      <c r="S60" s="218">
        <f t="shared" si="34"/>
        <v>1.522929751178396</v>
      </c>
      <c r="T60" s="157">
        <f>E60-листопад!E60</f>
        <v>213</v>
      </c>
      <c r="U60" s="160">
        <f>F60-листопад!F60</f>
        <v>107.99000000000001</v>
      </c>
      <c r="V60" s="161">
        <f t="shared" si="28"/>
        <v>-105.00999999999999</v>
      </c>
      <c r="W60" s="218">
        <f t="shared" si="35"/>
        <v>0.5069953051643193</v>
      </c>
      <c r="X60" s="363">
        <f t="shared" si="20"/>
        <v>0.040615166870964226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f>19000+700</f>
        <v>19700</v>
      </c>
      <c r="E62" s="150">
        <f t="shared" si="29"/>
        <v>19700</v>
      </c>
      <c r="F62" s="156">
        <v>20110.24</v>
      </c>
      <c r="G62" s="150">
        <f t="shared" si="27"/>
        <v>410.2400000000016</v>
      </c>
      <c r="H62" s="380">
        <f t="shared" si="25"/>
        <v>1.0208243654822335</v>
      </c>
      <c r="I62" s="165">
        <f t="shared" si="30"/>
        <v>410.2400000000016</v>
      </c>
      <c r="J62" s="218">
        <f t="shared" si="26"/>
        <v>1.0208243654822335</v>
      </c>
      <c r="K62" s="165"/>
      <c r="L62" s="165"/>
      <c r="M62" s="165"/>
      <c r="N62" s="165">
        <v>11422.5</v>
      </c>
      <c r="O62" s="165">
        <f t="shared" si="31"/>
        <v>8277.5</v>
      </c>
      <c r="P62" s="218">
        <f t="shared" si="32"/>
        <v>1.7246662289341212</v>
      </c>
      <c r="Q62" s="165">
        <f t="shared" si="33"/>
        <v>11422.5</v>
      </c>
      <c r="R62" s="165">
        <f t="shared" si="6"/>
        <v>8687.740000000002</v>
      </c>
      <c r="S62" s="218">
        <f t="shared" si="34"/>
        <v>1.7605813088203108</v>
      </c>
      <c r="T62" s="157">
        <f>E62-листопад!E62</f>
        <v>1400</v>
      </c>
      <c r="U62" s="160">
        <f>F62-листопад!F62</f>
        <v>1668.890000000003</v>
      </c>
      <c r="V62" s="161">
        <f t="shared" si="28"/>
        <v>268.89000000000306</v>
      </c>
      <c r="W62" s="218">
        <f t="shared" si="35"/>
        <v>1.1920642857142878</v>
      </c>
      <c r="X62" s="363">
        <f t="shared" si="20"/>
        <v>0.03591507988618958</v>
      </c>
    </row>
    <row r="63" spans="1:24" s="6" customFormat="1" ht="31.5">
      <c r="A63" s="8"/>
      <c r="B63" s="355" t="s">
        <v>99</v>
      </c>
      <c r="C63" s="72">
        <v>22012600</v>
      </c>
      <c r="D63" s="150">
        <f>530+164</f>
        <v>694</v>
      </c>
      <c r="E63" s="150">
        <f t="shared" si="29"/>
        <v>694</v>
      </c>
      <c r="F63" s="156">
        <v>710.04</v>
      </c>
      <c r="G63" s="150">
        <f t="shared" si="27"/>
        <v>16.039999999999964</v>
      </c>
      <c r="H63" s="380">
        <f t="shared" si="25"/>
        <v>1.0231123919308356</v>
      </c>
      <c r="I63" s="165">
        <f t="shared" si="30"/>
        <v>16.039999999999964</v>
      </c>
      <c r="J63" s="218">
        <f t="shared" si="26"/>
        <v>1.0231123919308356</v>
      </c>
      <c r="K63" s="165"/>
      <c r="L63" s="165"/>
      <c r="M63" s="165"/>
      <c r="N63" s="165">
        <v>323.25</v>
      </c>
      <c r="O63" s="165">
        <f t="shared" si="31"/>
        <v>370.75</v>
      </c>
      <c r="P63" s="218">
        <f t="shared" si="32"/>
        <v>2.1469450889404484</v>
      </c>
      <c r="Q63" s="165">
        <f t="shared" si="33"/>
        <v>323.25</v>
      </c>
      <c r="R63" s="165">
        <f t="shared" si="6"/>
        <v>386.78999999999996</v>
      </c>
      <c r="S63" s="218">
        <f t="shared" si="34"/>
        <v>2.196566125290023</v>
      </c>
      <c r="T63" s="157">
        <f>E63-листопад!E63</f>
        <v>189</v>
      </c>
      <c r="U63" s="160">
        <f>F63-листопад!F63</f>
        <v>96.86000000000001</v>
      </c>
      <c r="V63" s="161">
        <f t="shared" si="28"/>
        <v>-92.13999999999999</v>
      </c>
      <c r="W63" s="218">
        <f t="shared" si="35"/>
        <v>0.5124867724867725</v>
      </c>
      <c r="X63" s="363">
        <f t="shared" si="20"/>
        <v>0.0496210363495746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41.44</v>
      </c>
      <c r="G64" s="150">
        <f t="shared" si="27"/>
        <v>21.439999999999998</v>
      </c>
      <c r="H64" s="380">
        <f t="shared" si="25"/>
        <v>2.072</v>
      </c>
      <c r="I64" s="165">
        <f t="shared" si="30"/>
        <v>21.439999999999998</v>
      </c>
      <c r="J64" s="218">
        <f t="shared" si="26"/>
        <v>2.072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19.08</v>
      </c>
      <c r="S64" s="218">
        <f t="shared" si="34"/>
        <v>1.8533094812164579</v>
      </c>
      <c r="T64" s="157">
        <f>E64-листопад!E64</f>
        <v>1</v>
      </c>
      <c r="U64" s="160">
        <f>F64-листопад!F64</f>
        <v>3.3599999999999994</v>
      </c>
      <c r="V64" s="161">
        <f t="shared" si="28"/>
        <v>2.3599999999999994</v>
      </c>
      <c r="W64" s="218">
        <f t="shared" si="35"/>
        <v>3.3599999999999994</v>
      </c>
      <c r="X64" s="363">
        <f t="shared" si="20"/>
        <v>0.9588550983899821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896.22</v>
      </c>
      <c r="G66" s="150">
        <f t="shared" si="27"/>
        <v>-90.77999999999997</v>
      </c>
      <c r="H66" s="380">
        <f t="shared" si="25"/>
        <v>0.9080243161094225</v>
      </c>
      <c r="I66" s="165">
        <f t="shared" si="30"/>
        <v>-90.77999999999997</v>
      </c>
      <c r="J66" s="218">
        <f t="shared" si="26"/>
        <v>0.9080243161094225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-4265.12</v>
      </c>
      <c r="S66" s="218">
        <f t="shared" si="34"/>
        <v>0.17364095370582058</v>
      </c>
      <c r="T66" s="157">
        <f>E66-листопад!E66</f>
        <v>2</v>
      </c>
      <c r="U66" s="160">
        <f>F66-листопад!F66</f>
        <v>110.63999999999999</v>
      </c>
      <c r="V66" s="161">
        <f t="shared" si="28"/>
        <v>108.63999999999999</v>
      </c>
      <c r="W66" s="218">
        <f t="shared" si="35"/>
        <v>55.31999999999999</v>
      </c>
      <c r="X66" s="363">
        <f t="shared" si="20"/>
        <v>-0.017588455711113782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760.62</v>
      </c>
      <c r="G67" s="103">
        <f t="shared" si="27"/>
        <v>-59.379999999999995</v>
      </c>
      <c r="H67" s="376">
        <f t="shared" si="25"/>
        <v>0.9275853658536586</v>
      </c>
      <c r="I67" s="104">
        <f t="shared" si="30"/>
        <v>-59.379999999999995</v>
      </c>
      <c r="J67" s="109">
        <f t="shared" si="26"/>
        <v>0.9275853658536586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-74.59000000000003</v>
      </c>
      <c r="S67" s="371">
        <f t="shared" si="34"/>
        <v>0.9106931190957962</v>
      </c>
      <c r="T67" s="105">
        <f>E67-листопад!E67</f>
        <v>0</v>
      </c>
      <c r="U67" s="144">
        <f>F67-листопад!F67</f>
        <v>98.86000000000001</v>
      </c>
      <c r="V67" s="106">
        <f t="shared" si="28"/>
        <v>98.86000000000001</v>
      </c>
      <c r="W67" s="109" t="e">
        <f t="shared" si="35"/>
        <v>#DIV/0!</v>
      </c>
      <c r="X67" s="363">
        <f t="shared" si="20"/>
        <v>-0.0710958920511009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135.42</v>
      </c>
      <c r="G70" s="103">
        <f t="shared" si="27"/>
        <v>-29.580000000000013</v>
      </c>
      <c r="H70" s="376">
        <f t="shared" si="25"/>
        <v>0.8207272727272726</v>
      </c>
      <c r="I70" s="104">
        <f t="shared" si="30"/>
        <v>-29.580000000000013</v>
      </c>
      <c r="J70" s="109">
        <f t="shared" si="26"/>
        <v>0.8207272727272726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-4190.32</v>
      </c>
      <c r="S70" s="371">
        <f t="shared" si="34"/>
        <v>0.0313056263205833</v>
      </c>
      <c r="T70" s="105">
        <f>E70-листопад!E70</f>
        <v>0</v>
      </c>
      <c r="U70" s="144">
        <f>F70-листопад!F70</f>
        <v>11.779999999999987</v>
      </c>
      <c r="V70" s="106">
        <f t="shared" si="28"/>
        <v>11.779999999999987</v>
      </c>
      <c r="W70" s="109" t="e">
        <f t="shared" si="35"/>
        <v>#DIV/0!</v>
      </c>
      <c r="X70" s="363">
        <f t="shared" si="20"/>
        <v>-0.006838136365107474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f>7350+525</f>
        <v>7875</v>
      </c>
      <c r="E72" s="150">
        <f t="shared" si="36"/>
        <v>7875</v>
      </c>
      <c r="F72" s="156">
        <v>8086.92</v>
      </c>
      <c r="G72" s="150">
        <f t="shared" si="27"/>
        <v>211.92000000000007</v>
      </c>
      <c r="H72" s="380">
        <f t="shared" si="25"/>
        <v>1.0269104761904762</v>
      </c>
      <c r="I72" s="165">
        <f t="shared" si="30"/>
        <v>211.92000000000007</v>
      </c>
      <c r="J72" s="218">
        <f t="shared" si="26"/>
        <v>1.0269104761904762</v>
      </c>
      <c r="K72" s="165"/>
      <c r="L72" s="165"/>
      <c r="M72" s="165"/>
      <c r="N72" s="165">
        <v>6525.16</v>
      </c>
      <c r="O72" s="165">
        <f t="shared" si="31"/>
        <v>1349.8400000000001</v>
      </c>
      <c r="P72" s="218">
        <f t="shared" si="32"/>
        <v>1.2068669580516034</v>
      </c>
      <c r="Q72" s="165">
        <f t="shared" si="37"/>
        <v>6525.16</v>
      </c>
      <c r="R72" s="165">
        <f t="shared" si="6"/>
        <v>1561.7600000000002</v>
      </c>
      <c r="S72" s="218">
        <f t="shared" si="34"/>
        <v>1.2393443225913234</v>
      </c>
      <c r="T72" s="157">
        <f>E72-листопад!E72</f>
        <v>775</v>
      </c>
      <c r="U72" s="160">
        <f>F72-листопад!F72</f>
        <v>721.6300000000001</v>
      </c>
      <c r="V72" s="161">
        <f t="shared" si="28"/>
        <v>-53.36999999999989</v>
      </c>
      <c r="W72" s="218">
        <f t="shared" si="35"/>
        <v>0.9311354838709679</v>
      </c>
      <c r="X72" s="363">
        <f t="shared" si="20"/>
        <v>0.032477364539720055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2095.91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1.4852180444734193</v>
      </c>
      <c r="T74" s="157"/>
      <c r="U74" s="179">
        <f>F74-листопад!F74</f>
        <v>147.02999999999975</v>
      </c>
      <c r="V74" s="166">
        <f t="shared" si="28"/>
        <v>147.02999999999975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-4.86</v>
      </c>
      <c r="G78" s="150">
        <f t="shared" si="27"/>
        <v>-4.86</v>
      </c>
      <c r="H78" s="380" t="e">
        <f>F78/E78</f>
        <v>#DIV/0!</v>
      </c>
      <c r="I78" s="165">
        <f t="shared" si="30"/>
        <v>-4.86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-12.23</v>
      </c>
      <c r="S78" s="218">
        <f t="shared" si="34"/>
        <v>-0.6594301221166893</v>
      </c>
      <c r="T78" s="157">
        <f>E78-листопад!E78</f>
        <v>0</v>
      </c>
      <c r="U78" s="160">
        <f>F78-листопад!F78</f>
        <v>0.13999999999999968</v>
      </c>
      <c r="V78" s="161">
        <f t="shared" si="28"/>
        <v>0.13999999999999968</v>
      </c>
      <c r="W78" s="218"/>
      <c r="X78" s="363">
        <f t="shared" si="20"/>
        <v>-0.6594301221166893</v>
      </c>
    </row>
    <row r="79" spans="1:24" s="6" customFormat="1" ht="17.25">
      <c r="A79" s="9"/>
      <c r="B79" s="14" t="s">
        <v>184</v>
      </c>
      <c r="C79" s="62"/>
      <c r="D79" s="151">
        <f>D8+D53+D77+D78</f>
        <v>1398891.1</v>
      </c>
      <c r="E79" s="151">
        <f>E8+E53+E77+E78</f>
        <v>1398891.1</v>
      </c>
      <c r="F79" s="151">
        <f>F8+F53+F77+F78</f>
        <v>1398996.47</v>
      </c>
      <c r="G79" s="151">
        <f>F79-E79</f>
        <v>105.36999999987893</v>
      </c>
      <c r="H79" s="377">
        <f>F79/E79</f>
        <v>1.000075323947661</v>
      </c>
      <c r="I79" s="153">
        <f>F79-D79</f>
        <v>105.36999999987893</v>
      </c>
      <c r="J79" s="219">
        <f>F79/D79</f>
        <v>1.000075323947661</v>
      </c>
      <c r="K79" s="153"/>
      <c r="L79" s="153"/>
      <c r="M79" s="153"/>
      <c r="N79" s="153">
        <v>1053569.51</v>
      </c>
      <c r="O79" s="153">
        <f>D79-N79</f>
        <v>345321.5900000001</v>
      </c>
      <c r="P79" s="219">
        <f>D79/N79</f>
        <v>1.3277634619475653</v>
      </c>
      <c r="Q79" s="151">
        <f>N79</f>
        <v>1053569.51</v>
      </c>
      <c r="R79" s="153">
        <f>F79-Q79</f>
        <v>345426.95999999996</v>
      </c>
      <c r="S79" s="219">
        <f>F79/Q79</f>
        <v>1.3278634743330793</v>
      </c>
      <c r="T79" s="151">
        <f>T8+T53+T77+T78</f>
        <v>154133.80000000002</v>
      </c>
      <c r="U79" s="151">
        <f>U8+U53+U77+U78</f>
        <v>130084.83000000012</v>
      </c>
      <c r="V79" s="194">
        <f>U79-T79</f>
        <v>-24048.9699999999</v>
      </c>
      <c r="W79" s="219">
        <f>U79/T79</f>
        <v>0.843973417900552</v>
      </c>
      <c r="X79" s="363">
        <f t="shared" si="20"/>
        <v>0.00010001238551393676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f>74458.74-3362.35-55059.935</f>
        <v>16036.455000000002</v>
      </c>
      <c r="E88" s="180">
        <f>D88</f>
        <v>16036.455000000002</v>
      </c>
      <c r="F88" s="181">
        <v>938.14</v>
      </c>
      <c r="G88" s="162">
        <f t="shared" si="41"/>
        <v>-15098.315000000002</v>
      </c>
      <c r="H88" s="380">
        <f>F88/E88</f>
        <v>0.05850046035735453</v>
      </c>
      <c r="I88" s="167">
        <f>F88-D88</f>
        <v>-15098.315000000002</v>
      </c>
      <c r="J88" s="209">
        <f>F88/D88</f>
        <v>0.05850046035735453</v>
      </c>
      <c r="K88" s="167"/>
      <c r="L88" s="167"/>
      <c r="M88" s="167"/>
      <c r="N88" s="167">
        <v>4618.99</v>
      </c>
      <c r="O88" s="167">
        <f t="shared" si="42"/>
        <v>11417.465000000002</v>
      </c>
      <c r="P88" s="209">
        <f t="shared" si="43"/>
        <v>3.4718531540444992</v>
      </c>
      <c r="Q88" s="167">
        <f t="shared" si="38"/>
        <v>4618.99</v>
      </c>
      <c r="R88" s="167">
        <f t="shared" si="39"/>
        <v>-3680.85</v>
      </c>
      <c r="S88" s="209">
        <f t="shared" si="40"/>
        <v>0.20310500780473653</v>
      </c>
      <c r="T88" s="157">
        <f>E88-листопад!E88</f>
        <v>-39807.055</v>
      </c>
      <c r="U88" s="160">
        <f>F88-листопад!F88</f>
        <v>0.03999999999996362</v>
      </c>
      <c r="V88" s="167">
        <f t="shared" si="44"/>
        <v>39807.095</v>
      </c>
      <c r="W88" s="209">
        <f>U88/T88</f>
        <v>-1.004847005134231E-06</v>
      </c>
      <c r="X88" s="363">
        <f t="shared" si="20"/>
        <v>-3.2687481462397625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8143.65</v>
      </c>
      <c r="G89" s="162">
        <f t="shared" si="41"/>
        <v>-45856.35</v>
      </c>
      <c r="H89" s="380">
        <f>F89/E89</f>
        <v>0.15080833333333332</v>
      </c>
      <c r="I89" s="167">
        <f aca="true" t="shared" si="45" ref="I89:I98">F89-D89</f>
        <v>-45856.35</v>
      </c>
      <c r="J89" s="209">
        <f>F89/D89</f>
        <v>0.15080833333333332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-2292.120000000001</v>
      </c>
      <c r="S89" s="209">
        <f t="shared" si="40"/>
        <v>0.7803592835027985</v>
      </c>
      <c r="T89" s="157">
        <f>E89-листопад!E89</f>
        <v>20370</v>
      </c>
      <c r="U89" s="160">
        <f>F89-листопад!F89</f>
        <v>288.65999999999985</v>
      </c>
      <c r="V89" s="167">
        <f t="shared" si="44"/>
        <v>-20081.34</v>
      </c>
      <c r="W89" s="209">
        <f>U89/T89</f>
        <v>0.014170839469808535</v>
      </c>
      <c r="X89" s="363">
        <f t="shared" si="20"/>
        <v>-4.3941510784542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17305.88</v>
      </c>
      <c r="G90" s="162">
        <f t="shared" si="41"/>
        <v>-61694.119999999995</v>
      </c>
      <c r="H90" s="380">
        <f>F90/E90</f>
        <v>0.21906177215189876</v>
      </c>
      <c r="I90" s="167">
        <f t="shared" si="45"/>
        <v>-61694.119999999995</v>
      </c>
      <c r="J90" s="209">
        <f>F90/D90</f>
        <v>0.21906177215189876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4712.6900000000005</v>
      </c>
      <c r="S90" s="209">
        <f t="shared" si="40"/>
        <v>1.3742252757244193</v>
      </c>
      <c r="T90" s="157">
        <f>E90-листопад!E90</f>
        <v>23700</v>
      </c>
      <c r="U90" s="160">
        <f>F90-листопад!F90</f>
        <v>1599.3400000000001</v>
      </c>
      <c r="V90" s="167">
        <f t="shared" si="44"/>
        <v>-22100.66</v>
      </c>
      <c r="W90" s="209">
        <f>U90/T90</f>
        <v>0.06748270042194093</v>
      </c>
      <c r="X90" s="363">
        <f t="shared" si="20"/>
        <v>-4.899006526543314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20</v>
      </c>
      <c r="G91" s="162">
        <f t="shared" si="41"/>
        <v>8</v>
      </c>
      <c r="H91" s="380">
        <f>F91/E91</f>
        <v>1.6666666666666667</v>
      </c>
      <c r="I91" s="167">
        <f t="shared" si="45"/>
        <v>8</v>
      </c>
      <c r="J91" s="209">
        <f>F91/D91</f>
        <v>1.6666666666666667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7</v>
      </c>
      <c r="S91" s="209">
        <f t="shared" si="40"/>
        <v>1.5384615384615385</v>
      </c>
      <c r="T91" s="157">
        <f>E91-листопад!E91</f>
        <v>1</v>
      </c>
      <c r="U91" s="160">
        <f>F91-листопад!F91</f>
        <v>4</v>
      </c>
      <c r="V91" s="167">
        <f t="shared" si="44"/>
        <v>3</v>
      </c>
      <c r="W91" s="209">
        <f>U91/T91</f>
        <v>4</v>
      </c>
      <c r="X91" s="363">
        <f t="shared" si="20"/>
        <v>0.6153846153846154</v>
      </c>
    </row>
    <row r="92" spans="2:24" ht="33">
      <c r="B92" s="28" t="s">
        <v>51</v>
      </c>
      <c r="C92" s="65"/>
      <c r="D92" s="183">
        <f>D88+D89+D90+D91</f>
        <v>149048.45500000002</v>
      </c>
      <c r="E92" s="183">
        <f>E88+E89+E90+E91</f>
        <v>149048.45500000002</v>
      </c>
      <c r="F92" s="184">
        <f>F88+F89+F90+F91</f>
        <v>26407.67</v>
      </c>
      <c r="G92" s="185">
        <f t="shared" si="41"/>
        <v>-122640.78500000002</v>
      </c>
      <c r="H92" s="383">
        <f>F92/E92</f>
        <v>0.17717506699415297</v>
      </c>
      <c r="I92" s="187">
        <f t="shared" si="45"/>
        <v>-122640.78500000002</v>
      </c>
      <c r="J92" s="214">
        <f>F92/D92</f>
        <v>0.17717506699415297</v>
      </c>
      <c r="K92" s="187"/>
      <c r="L92" s="187"/>
      <c r="M92" s="187"/>
      <c r="N92" s="187">
        <v>27660.95</v>
      </c>
      <c r="O92" s="187">
        <f t="shared" si="42"/>
        <v>121387.50500000002</v>
      </c>
      <c r="P92" s="214">
        <f t="shared" si="43"/>
        <v>5.388406941916312</v>
      </c>
      <c r="Q92" s="187">
        <f t="shared" si="38"/>
        <v>27660.95</v>
      </c>
      <c r="R92" s="167">
        <f t="shared" si="39"/>
        <v>-1253.2800000000025</v>
      </c>
      <c r="S92" s="209">
        <f t="shared" si="40"/>
        <v>0.9546913609257816</v>
      </c>
      <c r="T92" s="185">
        <f>T88+T89+T90+T91</f>
        <v>4263.945</v>
      </c>
      <c r="U92" s="189">
        <f>U88+U89+U90+U91</f>
        <v>1892.04</v>
      </c>
      <c r="V92" s="187">
        <f t="shared" si="44"/>
        <v>-2371.9049999999997</v>
      </c>
      <c r="W92" s="214">
        <f>U92/T92</f>
        <v>0.4437299261599294</v>
      </c>
      <c r="X92" s="363">
        <f t="shared" si="20"/>
        <v>-4.433715580990531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8033.94</v>
      </c>
      <c r="G95" s="162">
        <f t="shared" si="41"/>
        <v>-326.0600000000004</v>
      </c>
      <c r="H95" s="380">
        <f>F95/E95</f>
        <v>0.9609976076555024</v>
      </c>
      <c r="I95" s="167">
        <f t="shared" si="45"/>
        <v>-326.0600000000004</v>
      </c>
      <c r="J95" s="209">
        <f>F95/D95</f>
        <v>0.9609976076555024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-318.7400000000007</v>
      </c>
      <c r="S95" s="209">
        <f t="shared" si="40"/>
        <v>0.9618397927371812</v>
      </c>
      <c r="T95" s="157">
        <f>E95-листопад!E95</f>
        <v>0.5</v>
      </c>
      <c r="U95" s="160">
        <f>F95-листопад!F95</f>
        <v>0.9899999999997817</v>
      </c>
      <c r="V95" s="167">
        <f t="shared" si="44"/>
        <v>0.4899999999997817</v>
      </c>
      <c r="W95" s="209">
        <f>U95/T95</f>
        <v>1.9799999999995634</v>
      </c>
      <c r="X95" s="363">
        <f t="shared" si="20"/>
        <v>-0.039036572692836446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8083.21</v>
      </c>
      <c r="G97" s="185">
        <f t="shared" si="41"/>
        <v>-316.78999999999996</v>
      </c>
      <c r="H97" s="383">
        <f>F97/E97</f>
        <v>0.9622869047619048</v>
      </c>
      <c r="I97" s="187">
        <f t="shared" si="45"/>
        <v>-316.78999999999996</v>
      </c>
      <c r="J97" s="214">
        <f>F97/D97</f>
        <v>0.9622869047619048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-340.9399999999996</v>
      </c>
      <c r="S97" s="209">
        <f t="shared" si="40"/>
        <v>0.9595282610114968</v>
      </c>
      <c r="T97" s="185">
        <f>T93+T96+T94+T95</f>
        <v>6.5</v>
      </c>
      <c r="U97" s="189">
        <f>U93+U96+U94+U95</f>
        <v>0.9899999999997817</v>
      </c>
      <c r="V97" s="187">
        <f t="shared" si="44"/>
        <v>-5.510000000000218</v>
      </c>
      <c r="W97" s="214">
        <f>U97/T97</f>
        <v>0.15230769230765873</v>
      </c>
      <c r="X97" s="363">
        <f t="shared" si="20"/>
        <v>-0.037604980917956055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37.96</v>
      </c>
      <c r="G98" s="162">
        <f t="shared" si="41"/>
        <v>-0.03999999999999915</v>
      </c>
      <c r="H98" s="380">
        <f>F98/E98</f>
        <v>0.9989473684210527</v>
      </c>
      <c r="I98" s="167">
        <f t="shared" si="45"/>
        <v>-0.03999999999999915</v>
      </c>
      <c r="J98" s="209">
        <f>F98/D98</f>
        <v>0.9989473684210527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2.6300000000000026</v>
      </c>
      <c r="S98" s="209">
        <f t="shared" si="40"/>
        <v>1.0744409849985848</v>
      </c>
      <c r="T98" s="157">
        <f>E98-листопад!E98</f>
        <v>0</v>
      </c>
      <c r="U98" s="160">
        <f>F98-листопад!F98</f>
        <v>8.93</v>
      </c>
      <c r="V98" s="167">
        <f t="shared" si="44"/>
        <v>8.93</v>
      </c>
      <c r="W98" s="209" t="e">
        <f>U98/T98</f>
        <v>#DIV/0!</v>
      </c>
      <c r="X98" s="363">
        <f t="shared" si="20"/>
        <v>-0.0011321822813472604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157486.45500000002</v>
      </c>
      <c r="E100" s="308">
        <f>E86+E87+E92+E97+E98</f>
        <v>157486.45500000002</v>
      </c>
      <c r="F100" s="308">
        <f>F86+F87+F92+F97+F98</f>
        <v>34561.78</v>
      </c>
      <c r="G100" s="309">
        <f>F100-E100</f>
        <v>-122924.67500000002</v>
      </c>
      <c r="H100" s="384">
        <f>F100/E100</f>
        <v>0.21945874646806923</v>
      </c>
      <c r="I100" s="301">
        <f>F100-D100</f>
        <v>-122924.67500000002</v>
      </c>
      <c r="J100" s="302">
        <f>F100/D100</f>
        <v>0.21945874646806923</v>
      </c>
      <c r="K100" s="301"/>
      <c r="L100" s="301"/>
      <c r="M100" s="301"/>
      <c r="N100" s="301">
        <v>36110.25</v>
      </c>
      <c r="O100" s="301">
        <f>D100-N100</f>
        <v>121376.20500000002</v>
      </c>
      <c r="P100" s="302">
        <f>D100/N100</f>
        <v>4.361267368683407</v>
      </c>
      <c r="Q100" s="308">
        <f>N100</f>
        <v>36110.25</v>
      </c>
      <c r="R100" s="301">
        <f>F100-Q100</f>
        <v>-1548.4700000000012</v>
      </c>
      <c r="S100" s="302">
        <f t="shared" si="40"/>
        <v>0.9571182697433553</v>
      </c>
      <c r="T100" s="308">
        <f>T86+T87+T92+T97+T98</f>
        <v>4270.445</v>
      </c>
      <c r="U100" s="308">
        <f>U86+U87+U92+U97+U98</f>
        <v>1901.9599999999998</v>
      </c>
      <c r="V100" s="301">
        <f>U100-T100</f>
        <v>-2368.4849999999997</v>
      </c>
      <c r="W100" s="302">
        <f>U100/T100</f>
        <v>0.44537747237114633</v>
      </c>
      <c r="X100" s="363">
        <f>S100-P100</f>
        <v>-3.404149098940052</v>
      </c>
    </row>
    <row r="101" spans="2:24" ht="17.25">
      <c r="B101" s="311" t="s">
        <v>182</v>
      </c>
      <c r="C101" s="307"/>
      <c r="D101" s="308">
        <f>D79+D100</f>
        <v>1556377.5550000002</v>
      </c>
      <c r="E101" s="308">
        <f>E79+E100</f>
        <v>1556377.5550000002</v>
      </c>
      <c r="F101" s="308">
        <f>F79+F100</f>
        <v>1433558.25</v>
      </c>
      <c r="G101" s="309">
        <f>F101-E101</f>
        <v>-122819.30500000017</v>
      </c>
      <c r="H101" s="384">
        <f>F101/E101</f>
        <v>0.9210864326554746</v>
      </c>
      <c r="I101" s="301">
        <f>F101-D101</f>
        <v>-122819.30500000017</v>
      </c>
      <c r="J101" s="302">
        <f>F101/D101</f>
        <v>0.9210864326554746</v>
      </c>
      <c r="K101" s="301"/>
      <c r="L101" s="301"/>
      <c r="M101" s="301"/>
      <c r="N101" s="301">
        <v>1089679.76</v>
      </c>
      <c r="O101" s="301">
        <f>D101-N101</f>
        <v>466697.79500000016</v>
      </c>
      <c r="P101" s="302">
        <f>D101/N101</f>
        <v>1.4282889451851433</v>
      </c>
      <c r="Q101" s="301">
        <f>Q79+Q100</f>
        <v>1089679.76</v>
      </c>
      <c r="R101" s="301">
        <f>R79+R100</f>
        <v>343878.49</v>
      </c>
      <c r="S101" s="302">
        <f t="shared" si="40"/>
        <v>1.3155775693218346</v>
      </c>
      <c r="T101" s="309">
        <f>T79+T100</f>
        <v>158404.24500000002</v>
      </c>
      <c r="U101" s="309">
        <f>U79+U100</f>
        <v>131986.79000000012</v>
      </c>
      <c r="V101" s="301">
        <f>U101-T101</f>
        <v>-26417.4549999999</v>
      </c>
      <c r="W101" s="302">
        <f>U101/T101</f>
        <v>0.8332276070000529</v>
      </c>
      <c r="X101" s="363">
        <f>S101-P101</f>
        <v>-0.1127113758633087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0</v>
      </c>
      <c r="D103" s="4" t="s">
        <v>35</v>
      </c>
      <c r="U103" s="78"/>
      <c r="X103" s="363"/>
    </row>
    <row r="104" spans="2:24" ht="30.75">
      <c r="B104" s="52" t="s">
        <v>53</v>
      </c>
      <c r="C104" s="29" t="e">
        <f>IF(V79&lt;0,ABS(V79/C103),0)</f>
        <v>#DIV/0!</v>
      </c>
      <c r="D104" s="4" t="s">
        <v>24</v>
      </c>
      <c r="G104" s="467"/>
      <c r="H104" s="467"/>
      <c r="I104" s="467"/>
      <c r="J104" s="467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43098</v>
      </c>
      <c r="D105" s="29">
        <v>2330.8</v>
      </c>
      <c r="G105" s="4" t="s">
        <v>58</v>
      </c>
      <c r="U105" s="468"/>
      <c r="V105" s="468"/>
      <c r="X105" s="363"/>
    </row>
    <row r="106" spans="3:24" ht="15">
      <c r="C106" s="81">
        <v>43097</v>
      </c>
      <c r="D106" s="29">
        <v>15629.9</v>
      </c>
      <c r="G106" s="469"/>
      <c r="H106" s="46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68"/>
      <c r="V106" s="468"/>
      <c r="X106" s="363"/>
    </row>
    <row r="107" spans="3:24" ht="15.75" customHeight="1">
      <c r="C107" s="81">
        <v>43096</v>
      </c>
      <c r="D107" s="29">
        <v>15417.7</v>
      </c>
      <c r="G107" s="469"/>
      <c r="H107" s="46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68"/>
      <c r="V107" s="468"/>
      <c r="X107" s="363"/>
    </row>
    <row r="108" spans="3:24" ht="15.75" customHeight="1">
      <c r="C108" s="81"/>
      <c r="F108" s="68"/>
      <c r="G108" s="470"/>
      <c r="H108" s="470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71" t="s">
        <v>56</v>
      </c>
      <c r="C109" s="472"/>
      <c r="D109" s="133">
        <v>3397.1669500000003</v>
      </c>
      <c r="E109" s="69"/>
      <c r="F109" s="125" t="s">
        <v>107</v>
      </c>
      <c r="G109" s="469"/>
      <c r="H109" s="46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69"/>
      <c r="H110" s="46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73" t="s">
        <v>59</v>
      </c>
      <c r="C111" s="474"/>
      <c r="D111" s="80">
        <v>0</v>
      </c>
      <c r="E111" s="51" t="s">
        <v>24</v>
      </c>
      <c r="F111" s="68"/>
      <c r="G111" s="469"/>
      <c r="H111" s="46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1887</v>
      </c>
      <c r="E112" s="68">
        <f>E60+E63+E64</f>
        <v>1887</v>
      </c>
      <c r="F112" s="203">
        <f>F60+F63+F64</f>
        <v>1956.6200000000001</v>
      </c>
      <c r="G112" s="68">
        <f>G60+G63+G64</f>
        <v>69.62000000000006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75"/>
      <c r="V113" s="475"/>
      <c r="W113" s="3"/>
      <c r="X113" s="363"/>
    </row>
    <row r="114" spans="2:24" ht="15" hidden="1">
      <c r="B114" s="4" t="s">
        <v>119</v>
      </c>
      <c r="D114" s="29">
        <f>D9+D15+D18+D19+D23+D54+D57+D77+D71</f>
        <v>1333609.6</v>
      </c>
      <c r="E114" s="29">
        <f>E9+E15+E18+E19+E23+E54+E57+E77+E71</f>
        <v>1333609.6</v>
      </c>
      <c r="F114" s="229">
        <f>F9+F15+F18+F19+F23+F54+F57+F77+F71</f>
        <v>1332268.81</v>
      </c>
      <c r="G114" s="29">
        <f>F114-E114</f>
        <v>-1340.7900000000373</v>
      </c>
      <c r="H114" s="230">
        <f>F114/E114</f>
        <v>0.998994615815603</v>
      </c>
      <c r="I114" s="29">
        <f>F114-D114</f>
        <v>-1340.7900000000373</v>
      </c>
      <c r="J114" s="230">
        <f>F114/D114</f>
        <v>0.998994615815603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65258.5</v>
      </c>
      <c r="E115" s="29">
        <f>E55+E56+E58+E60+E62+E63+E64+E65+E66+E72+E76+E59+E78</f>
        <v>65258.5</v>
      </c>
      <c r="F115" s="229">
        <f>F55+F56+F58+F60+F62+F63+F64+F65+F66+F72+F76+F59+F78</f>
        <v>66703.79</v>
      </c>
      <c r="G115" s="29">
        <f>G55+G56+G58+G60+G62+G63+G64+G65+G66+G72+G76+G59</f>
        <v>1450.1500000000003</v>
      </c>
      <c r="H115" s="230">
        <f>F115/E115</f>
        <v>1.0221471532444049</v>
      </c>
      <c r="I115" s="29">
        <f>I55+I56+I58+I60+I62+I63+I64+I65+I66+I72+I76+I59</f>
        <v>1450.1500000000003</v>
      </c>
      <c r="J115" s="230">
        <f>F115/D115</f>
        <v>1.0221471532444049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1398868.1</v>
      </c>
      <c r="E116" s="29">
        <f>SUM(E114:E115)</f>
        <v>1398868.1</v>
      </c>
      <c r="F116" s="29">
        <f>SUM(F114:F115)</f>
        <v>1398972.6</v>
      </c>
      <c r="G116" s="29">
        <f>SUM(G114:G115)</f>
        <v>109.35999999996307</v>
      </c>
      <c r="H116" s="230">
        <f>F116/E116</f>
        <v>1.0000747032547244</v>
      </c>
      <c r="I116" s="29">
        <f>SUM(I114:I115)</f>
        <v>109.35999999996307</v>
      </c>
      <c r="J116" s="230">
        <f>F116/D116</f>
        <v>1.0000747032547244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157106.5000000001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229894.67500000002</v>
      </c>
      <c r="E123" s="191">
        <f>E100+E122</f>
        <v>175588.515</v>
      </c>
      <c r="F123" s="191">
        <f>F100+F122</f>
        <v>54816.1</v>
      </c>
      <c r="G123" s="192">
        <f>F123-E123</f>
        <v>-120772.41500000001</v>
      </c>
      <c r="H123" s="193">
        <f>F123/E123*100</f>
        <v>31.218499683763483</v>
      </c>
      <c r="I123" s="194">
        <f>F123-D123</f>
        <v>-175078.575</v>
      </c>
      <c r="J123" s="194">
        <f>F123/D123*100</f>
        <v>23.844005956205812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51776.229999999996</v>
      </c>
      <c r="S123" s="269">
        <f>F123/Q123</f>
        <v>18.03238296374516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1628785.7750000001</v>
      </c>
      <c r="E124" s="191">
        <f>E123+E79</f>
        <v>1574479.6150000002</v>
      </c>
      <c r="F124" s="191">
        <f>F123+F79</f>
        <v>1453812.57</v>
      </c>
      <c r="G124" s="192">
        <f>F124-E124</f>
        <v>-120667.04500000016</v>
      </c>
      <c r="H124" s="193">
        <f>F124/E124*100</f>
        <v>92.33606813004053</v>
      </c>
      <c r="I124" s="194">
        <f>F124-D124</f>
        <v>-174973.20500000007</v>
      </c>
      <c r="J124" s="194">
        <f>F124/D124*100</f>
        <v>89.25744516647684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361092.93999999994</v>
      </c>
      <c r="S124" s="269">
        <f>F124/Q124</f>
        <v>1.3304534210664816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>
        <f>C18</f>
        <v>13030200</v>
      </c>
      <c r="D137" s="412">
        <f aca="true" t="shared" si="48" ref="D137:S137">D18</f>
        <v>220</v>
      </c>
      <c r="E137" s="412">
        <f t="shared" si="48"/>
        <v>220</v>
      </c>
      <c r="F137" s="414">
        <f t="shared" si="48"/>
        <v>220.59</v>
      </c>
      <c r="G137" s="412">
        <f t="shared" si="48"/>
        <v>0.5900000000000034</v>
      </c>
      <c r="H137" s="423">
        <f t="shared" si="48"/>
        <v>1.0026818181818182</v>
      </c>
      <c r="I137" s="412">
        <f t="shared" si="48"/>
        <v>0.5900000000000034</v>
      </c>
      <c r="J137" s="423">
        <f t="shared" si="48"/>
        <v>100.26818181818183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95.3</v>
      </c>
      <c r="P137" s="423">
        <f t="shared" si="48"/>
        <v>1.764234161988773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0.004731355252606484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153.3</v>
      </c>
      <c r="G138" s="415">
        <f t="shared" si="50"/>
        <v>113.30000000000001</v>
      </c>
      <c r="H138" s="424">
        <f t="shared" si="50"/>
        <v>3.8325000000000005</v>
      </c>
      <c r="I138" s="421">
        <f t="shared" si="50"/>
        <v>113.30000000000001</v>
      </c>
      <c r="J138" s="424">
        <f t="shared" si="50"/>
        <v>3.8325000000000005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121.32000000000001</v>
      </c>
      <c r="S138" s="423">
        <f t="shared" si="50"/>
        <v>4.793621013133208</v>
      </c>
      <c r="T138" s="399"/>
      <c r="U138" s="399"/>
      <c r="V138" s="399"/>
      <c r="W138" s="399"/>
      <c r="X138" s="363">
        <f t="shared" si="47"/>
        <v>3.5428392745465915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705.31</v>
      </c>
      <c r="G140" s="412">
        <f t="shared" si="52"/>
        <v>45.309999999999945</v>
      </c>
      <c r="H140" s="423">
        <f t="shared" si="52"/>
        <v>1.068651515151515</v>
      </c>
      <c r="I140" s="412">
        <f t="shared" si="52"/>
        <v>45.309999999999945</v>
      </c>
      <c r="J140" s="423">
        <f t="shared" si="52"/>
        <v>1.068651515151515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464.23999999999995</v>
      </c>
      <c r="S140" s="423">
        <f t="shared" si="52"/>
        <v>2.9257477081345664</v>
      </c>
      <c r="T140" s="400"/>
      <c r="U140" s="400"/>
      <c r="V140" s="400"/>
      <c r="W140" s="400"/>
      <c r="X140" s="363">
        <f t="shared" si="47"/>
        <v>0.18795370639233377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114.3</v>
      </c>
      <c r="G141" s="412">
        <f t="shared" si="53"/>
        <v>16.799999999999997</v>
      </c>
      <c r="H141" s="423">
        <f t="shared" si="53"/>
        <v>1.1723076923076923</v>
      </c>
      <c r="I141" s="412">
        <f t="shared" si="53"/>
        <v>16.799999999999997</v>
      </c>
      <c r="J141" s="423">
        <f t="shared" si="53"/>
        <v>1.1723076923076923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27.929999999999993</v>
      </c>
      <c r="S141" s="423">
        <f t="shared" si="53"/>
        <v>1.3233761722820423</v>
      </c>
      <c r="T141" s="400"/>
      <c r="U141" s="400"/>
      <c r="V141" s="400"/>
      <c r="W141" s="400"/>
      <c r="X141" s="363">
        <f t="shared" si="47"/>
        <v>0.19451198332754416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-4.86</v>
      </c>
      <c r="G144" s="419">
        <f t="shared" si="56"/>
        <v>-4.86</v>
      </c>
      <c r="H144" s="409" t="e">
        <f t="shared" si="56"/>
        <v>#DIV/0!</v>
      </c>
      <c r="I144" s="419">
        <f t="shared" si="56"/>
        <v>-4.86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-12.23</v>
      </c>
      <c r="S144" s="409">
        <f t="shared" si="56"/>
        <v>-0.6594301221166893</v>
      </c>
      <c r="T144" s="402"/>
      <c r="U144" s="402"/>
      <c r="V144" s="402"/>
      <c r="W144" s="402"/>
      <c r="X144" s="363">
        <f t="shared" si="47"/>
        <v>-0.6594301221166893</v>
      </c>
    </row>
    <row r="145" spans="4:24" ht="15" hidden="1">
      <c r="D145" s="406">
        <f>D136+D137+D138+D139+D140+D141+D142+D143+D144</f>
        <v>1048</v>
      </c>
      <c r="E145" s="406">
        <f>E136+E137+E138+E139+E140+E141+E142+E143+E144</f>
        <v>1048</v>
      </c>
      <c r="F145" s="407">
        <f>F136+F137+F138+F139+F140+F141+F142+F143+F144</f>
        <v>1238.34</v>
      </c>
      <c r="G145" s="406">
        <f>F145-E145</f>
        <v>190.33999999999992</v>
      </c>
      <c r="H145" s="339">
        <f>F145/E145</f>
        <v>1.18162213740458</v>
      </c>
      <c r="I145" s="406">
        <f>F145-D145</f>
        <v>190.33999999999992</v>
      </c>
      <c r="J145" s="339">
        <f>F145/D145</f>
        <v>1.18162213740458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540.26</v>
      </c>
      <c r="P145" s="339">
        <f>D145/N145</f>
        <v>2.06404852877457</v>
      </c>
      <c r="Q145" s="406">
        <f>Q136+Q137+Q138+Q139+Q140+Q141+Q142+Q143+Q144</f>
        <v>507.73999999999995</v>
      </c>
      <c r="R145" s="406">
        <f>F145-Q145</f>
        <v>730.5999999999999</v>
      </c>
      <c r="S145" s="429">
        <f>F145/Q145</f>
        <v>2.4389254342773863</v>
      </c>
      <c r="T145" s="403"/>
      <c r="U145" s="403"/>
      <c r="V145" s="403"/>
      <c r="W145" s="403"/>
      <c r="X145" s="366">
        <f t="shared" si="47"/>
        <v>0.37487690550281627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1173</v>
      </c>
      <c r="E148" s="412">
        <f t="shared" si="58"/>
        <v>1173</v>
      </c>
      <c r="F148" s="414">
        <f t="shared" si="58"/>
        <v>1205.14</v>
      </c>
      <c r="G148" s="412">
        <f t="shared" si="58"/>
        <v>32.1400000000001</v>
      </c>
      <c r="H148" s="410">
        <f t="shared" si="58"/>
        <v>1.0273998294970164</v>
      </c>
      <c r="I148" s="412">
        <f t="shared" si="58"/>
        <v>32.1400000000001</v>
      </c>
      <c r="J148" s="410">
        <f t="shared" si="58"/>
        <v>1.0273998294970164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381.66999999999996</v>
      </c>
      <c r="P148" s="410">
        <f t="shared" si="58"/>
        <v>1.4823145843074317</v>
      </c>
      <c r="Q148" s="412">
        <f t="shared" si="58"/>
        <v>791.33</v>
      </c>
      <c r="R148" s="415">
        <f t="shared" si="58"/>
        <v>413.81000000000006</v>
      </c>
      <c r="S148" s="410">
        <f t="shared" si="58"/>
        <v>1.522929751178396</v>
      </c>
      <c r="T148" s="400"/>
      <c r="U148" s="400"/>
      <c r="V148" s="400"/>
      <c r="W148" s="400"/>
      <c r="X148" s="363">
        <f aca="true" t="shared" si="59" ref="X148:X153">S148-P148</f>
        <v>0.040615166870964226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19700</v>
      </c>
      <c r="E150" s="413">
        <f t="shared" si="61"/>
        <v>19700</v>
      </c>
      <c r="F150" s="431">
        <f t="shared" si="61"/>
        <v>20110.24</v>
      </c>
      <c r="G150" s="413">
        <f t="shared" si="61"/>
        <v>410.2400000000016</v>
      </c>
      <c r="H150" s="411">
        <f t="shared" si="61"/>
        <v>1.0208243654822335</v>
      </c>
      <c r="I150" s="413">
        <f t="shared" si="61"/>
        <v>410.2400000000016</v>
      </c>
      <c r="J150" s="411">
        <f t="shared" si="61"/>
        <v>1.0208243654822335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8277.5</v>
      </c>
      <c r="P150" s="411">
        <f t="shared" si="61"/>
        <v>1.7246662289341212</v>
      </c>
      <c r="Q150" s="413">
        <f t="shared" si="61"/>
        <v>11422.5</v>
      </c>
      <c r="R150" s="432">
        <f t="shared" si="61"/>
        <v>8687.740000000002</v>
      </c>
      <c r="S150" s="411">
        <f t="shared" si="61"/>
        <v>1.7605813088203108</v>
      </c>
      <c r="T150" s="404"/>
      <c r="U150" s="404"/>
      <c r="V150" s="404"/>
      <c r="W150" s="404"/>
      <c r="X150" s="363">
        <f t="shared" si="59"/>
        <v>0.03591507988618958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694</v>
      </c>
      <c r="E151" s="413">
        <f t="shared" si="62"/>
        <v>694</v>
      </c>
      <c r="F151" s="431">
        <f t="shared" si="62"/>
        <v>710.04</v>
      </c>
      <c r="G151" s="413">
        <f t="shared" si="62"/>
        <v>16.039999999999964</v>
      </c>
      <c r="H151" s="411">
        <f t="shared" si="62"/>
        <v>1.0231123919308356</v>
      </c>
      <c r="I151" s="413">
        <f t="shared" si="62"/>
        <v>16.039999999999964</v>
      </c>
      <c r="J151" s="411">
        <f t="shared" si="62"/>
        <v>1.0231123919308356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370.75</v>
      </c>
      <c r="P151" s="411">
        <f t="shared" si="62"/>
        <v>2.1469450889404484</v>
      </c>
      <c r="Q151" s="413">
        <f t="shared" si="62"/>
        <v>323.25</v>
      </c>
      <c r="R151" s="432">
        <f t="shared" si="62"/>
        <v>386.78999999999996</v>
      </c>
      <c r="S151" s="411">
        <f t="shared" si="62"/>
        <v>2.196566125290023</v>
      </c>
      <c r="T151" s="404"/>
      <c r="U151" s="404"/>
      <c r="V151" s="404"/>
      <c r="W151" s="404"/>
      <c r="X151" s="363">
        <f t="shared" si="59"/>
        <v>0.0496210363495746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41.44</v>
      </c>
      <c r="G152" s="413">
        <f t="shared" si="63"/>
        <v>21.439999999999998</v>
      </c>
      <c r="H152" s="411">
        <f t="shared" si="63"/>
        <v>2.072</v>
      </c>
      <c r="I152" s="413">
        <f t="shared" si="63"/>
        <v>21.439999999999998</v>
      </c>
      <c r="J152" s="411">
        <f t="shared" si="63"/>
        <v>2.072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19.08</v>
      </c>
      <c r="S152" s="411">
        <f t="shared" si="63"/>
        <v>1.8533094812164579</v>
      </c>
      <c r="T152" s="404"/>
      <c r="U152" s="404"/>
      <c r="V152" s="404"/>
      <c r="W152" s="404"/>
      <c r="X152" s="363">
        <f t="shared" si="59"/>
        <v>0.9588550983899821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21610</v>
      </c>
      <c r="E153" s="406">
        <f>E148+E149+E150+E151+E152</f>
        <v>21610</v>
      </c>
      <c r="F153" s="407">
        <f>F148+F149+F150+F151+F152</f>
        <v>22090.24</v>
      </c>
      <c r="G153" s="406">
        <f>F153-E153</f>
        <v>480.2400000000016</v>
      </c>
      <c r="H153" s="339">
        <f>F153/E153</f>
        <v>1.0222230448866267</v>
      </c>
      <c r="I153" s="406">
        <f>F153-D153</f>
        <v>480.2400000000016</v>
      </c>
      <c r="J153" s="339">
        <f>F153/D153</f>
        <v>1.0222230448866267</v>
      </c>
      <c r="K153" s="90"/>
      <c r="L153" s="90"/>
      <c r="M153" s="90"/>
      <c r="N153" s="406">
        <f>N148+N149+N150+N151+N152</f>
        <v>12559.44</v>
      </c>
      <c r="O153" s="406">
        <f>D153-N153</f>
        <v>9050.56</v>
      </c>
      <c r="P153" s="339">
        <f>D153/N153</f>
        <v>1.7206181167313193</v>
      </c>
      <c r="Q153" s="406">
        <f>Q148+Q149+Q150+Q151+Q152</f>
        <v>12559.44</v>
      </c>
      <c r="R153" s="406">
        <f>F153-Q153</f>
        <v>9530.800000000001</v>
      </c>
      <c r="S153" s="339">
        <f>F153/Q153</f>
        <v>1.7588554903721823</v>
      </c>
      <c r="T153" s="403"/>
      <c r="U153" s="403"/>
      <c r="V153" s="403"/>
      <c r="W153" s="403"/>
      <c r="X153" s="366">
        <f t="shared" si="59"/>
        <v>0.03823737364086299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7875</v>
      </c>
      <c r="E157" s="427">
        <f t="shared" si="64"/>
        <v>7875</v>
      </c>
      <c r="F157" s="433">
        <f t="shared" si="64"/>
        <v>8086.92</v>
      </c>
      <c r="G157" s="427">
        <f t="shared" si="64"/>
        <v>211.92000000000007</v>
      </c>
      <c r="H157" s="409">
        <f t="shared" si="64"/>
        <v>1.0269104761904762</v>
      </c>
      <c r="I157" s="427">
        <f t="shared" si="64"/>
        <v>211.92000000000007</v>
      </c>
      <c r="J157" s="409">
        <f t="shared" si="64"/>
        <v>1.0269104761904762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1349.8400000000001</v>
      </c>
      <c r="P157" s="409">
        <f t="shared" si="64"/>
        <v>1.2068669580516034</v>
      </c>
      <c r="Q157" s="427">
        <f t="shared" si="64"/>
        <v>6525.16</v>
      </c>
      <c r="R157" s="427">
        <f t="shared" si="64"/>
        <v>1561.7600000000002</v>
      </c>
      <c r="S157" s="409">
        <f t="shared" si="64"/>
        <v>1.2393443225913234</v>
      </c>
      <c r="T157" s="405"/>
      <c r="U157" s="405"/>
      <c r="V157" s="405"/>
      <c r="W157" s="405"/>
      <c r="X157" s="363">
        <f>S157-P157</f>
        <v>0.032477364539720055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8035</v>
      </c>
      <c r="E159" s="406">
        <f>E157+E158</f>
        <v>8035</v>
      </c>
      <c r="F159" s="407">
        <f>F157+F158</f>
        <v>8229.1</v>
      </c>
      <c r="G159" s="408">
        <f>F159-E159</f>
        <v>194.10000000000036</v>
      </c>
      <c r="H159" s="339">
        <f>F159/E159</f>
        <v>1.024156813939017</v>
      </c>
      <c r="I159" s="406">
        <f>F159-D159</f>
        <v>194.10000000000036</v>
      </c>
      <c r="J159" s="339">
        <f>F159/D159</f>
        <v>1.024156813939017</v>
      </c>
      <c r="K159" s="90"/>
      <c r="L159" s="90"/>
      <c r="M159" s="90"/>
      <c r="N159" s="406">
        <f>N157+N158</f>
        <v>6751.88</v>
      </c>
      <c r="O159" s="406">
        <f>D159-N159</f>
        <v>1283.12</v>
      </c>
      <c r="P159" s="339">
        <f>D159/N159</f>
        <v>1.1900389224926984</v>
      </c>
      <c r="Q159" s="406">
        <f>Q157+Q158</f>
        <v>6751.88</v>
      </c>
      <c r="R159" s="406">
        <f>F159-Q159</f>
        <v>1477.2200000000003</v>
      </c>
      <c r="S159" s="339">
        <f>F159/Q159</f>
        <v>1.2187864713235426</v>
      </c>
      <c r="T159" s="403"/>
      <c r="U159" s="403"/>
      <c r="V159" s="403"/>
      <c r="W159" s="403"/>
      <c r="X159" s="366">
        <f>S159-P159</f>
        <v>0.028747548830844183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37" t="s">
        <v>185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7"/>
      <c r="T1" s="246"/>
      <c r="U1" s="249"/>
      <c r="V1" s="259"/>
      <c r="W1" s="259"/>
    </row>
    <row r="2" spans="2:23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163</v>
      </c>
      <c r="O3" s="450" t="s">
        <v>164</v>
      </c>
      <c r="P3" s="450"/>
      <c r="Q3" s="450"/>
      <c r="R3" s="450"/>
      <c r="S3" s="450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39"/>
      <c r="B4" s="441"/>
      <c r="C4" s="442"/>
      <c r="D4" s="443"/>
      <c r="E4" s="451" t="s">
        <v>153</v>
      </c>
      <c r="F4" s="453" t="s">
        <v>33</v>
      </c>
      <c r="G4" s="455" t="s">
        <v>162</v>
      </c>
      <c r="H4" s="448" t="s">
        <v>176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186</v>
      </c>
      <c r="P4" s="455" t="s">
        <v>49</v>
      </c>
      <c r="Q4" s="45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169</v>
      </c>
      <c r="L5" s="461"/>
      <c r="M5" s="462"/>
      <c r="N5" s="449"/>
      <c r="O5" s="458"/>
      <c r="P5" s="456"/>
      <c r="Q5" s="459"/>
      <c r="R5" s="460" t="s">
        <v>102</v>
      </c>
      <c r="S5" s="46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68"/>
      <c r="P93" s="468"/>
    </row>
    <row r="94" spans="3:16" ht="15">
      <c r="C94" s="81">
        <v>42824</v>
      </c>
      <c r="D94" s="29">
        <v>11112.7</v>
      </c>
      <c r="F94" s="113" t="s">
        <v>58</v>
      </c>
      <c r="G94" s="469"/>
      <c r="H94" s="469"/>
      <c r="I94" s="118"/>
      <c r="J94" s="482"/>
      <c r="K94" s="482"/>
      <c r="L94" s="482"/>
      <c r="M94" s="482"/>
      <c r="N94" s="482"/>
      <c r="O94" s="468"/>
      <c r="P94" s="468"/>
    </row>
    <row r="95" spans="3:16" ht="15.75" customHeight="1">
      <c r="C95" s="81">
        <v>42823</v>
      </c>
      <c r="D95" s="29">
        <v>8830.3</v>
      </c>
      <c r="F95" s="68"/>
      <c r="G95" s="469"/>
      <c r="H95" s="469"/>
      <c r="I95" s="118"/>
      <c r="J95" s="483"/>
      <c r="K95" s="483"/>
      <c r="L95" s="483"/>
      <c r="M95" s="483"/>
      <c r="N95" s="483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482"/>
      <c r="K96" s="482"/>
      <c r="L96" s="482"/>
      <c r="M96" s="482"/>
      <c r="N96" s="482"/>
    </row>
    <row r="97" spans="2:14" ht="18" customHeight="1">
      <c r="B97" s="471" t="s">
        <v>56</v>
      </c>
      <c r="C97" s="472"/>
      <c r="D97" s="133">
        <v>1399.2856000000002</v>
      </c>
      <c r="E97" s="69"/>
      <c r="F97" s="125" t="s">
        <v>107</v>
      </c>
      <c r="G97" s="469"/>
      <c r="H97" s="46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7" t="s">
        <v>151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7"/>
    </row>
    <row r="2" spans="2:19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144</v>
      </c>
      <c r="O3" s="450" t="s">
        <v>148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149</v>
      </c>
      <c r="F4" s="453" t="s">
        <v>33</v>
      </c>
      <c r="G4" s="455" t="s">
        <v>145</v>
      </c>
      <c r="H4" s="448" t="s">
        <v>146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152</v>
      </c>
      <c r="P4" s="455" t="s">
        <v>49</v>
      </c>
      <c r="Q4" s="459" t="s">
        <v>48</v>
      </c>
      <c r="R4" s="91" t="s">
        <v>64</v>
      </c>
      <c r="S4" s="92" t="s">
        <v>63</v>
      </c>
    </row>
    <row r="5" spans="1:19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147</v>
      </c>
      <c r="L5" s="461"/>
      <c r="M5" s="462"/>
      <c r="N5" s="449"/>
      <c r="O5" s="458"/>
      <c r="P5" s="456"/>
      <c r="Q5" s="459"/>
      <c r="R5" s="460" t="s">
        <v>102</v>
      </c>
      <c r="S5" s="46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67"/>
      <c r="H89" s="467"/>
      <c r="I89" s="467"/>
      <c r="J89" s="46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68"/>
      <c r="P90" s="468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69"/>
      <c r="H91" s="469"/>
      <c r="I91" s="118"/>
      <c r="J91" s="482"/>
      <c r="K91" s="482"/>
      <c r="L91" s="482"/>
      <c r="M91" s="482"/>
      <c r="N91" s="482"/>
      <c r="O91" s="468"/>
      <c r="P91" s="468"/>
    </row>
    <row r="92" spans="3:16" ht="15.75" customHeight="1">
      <c r="C92" s="81">
        <v>42790</v>
      </c>
      <c r="D92" s="29">
        <v>4206.9</v>
      </c>
      <c r="F92" s="68"/>
      <c r="G92" s="469"/>
      <c r="H92" s="469"/>
      <c r="I92" s="118"/>
      <c r="J92" s="483"/>
      <c r="K92" s="483"/>
      <c r="L92" s="483"/>
      <c r="M92" s="483"/>
      <c r="N92" s="483"/>
      <c r="O92" s="468"/>
      <c r="P92" s="468"/>
    </row>
    <row r="93" spans="3:14" ht="15.75" customHeight="1">
      <c r="C93" s="81"/>
      <c r="F93" s="68"/>
      <c r="G93" s="470"/>
      <c r="H93" s="470"/>
      <c r="I93" s="124"/>
      <c r="J93" s="482"/>
      <c r="K93" s="482"/>
      <c r="L93" s="482"/>
      <c r="M93" s="482"/>
      <c r="N93" s="482"/>
    </row>
    <row r="94" spans="2:14" ht="18.75" customHeight="1">
      <c r="B94" s="471" t="s">
        <v>56</v>
      </c>
      <c r="C94" s="472"/>
      <c r="D94" s="133">
        <v>7713.34596</v>
      </c>
      <c r="E94" s="69"/>
      <c r="F94" s="125" t="s">
        <v>107</v>
      </c>
      <c r="G94" s="469"/>
      <c r="H94" s="46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69"/>
      <c r="H95" s="469"/>
      <c r="I95" s="68"/>
      <c r="J95" s="69"/>
      <c r="K95" s="69"/>
      <c r="L95" s="69"/>
      <c r="M95" s="69"/>
    </row>
    <row r="96" spans="2:13" ht="22.5" customHeight="1" hidden="1">
      <c r="B96" s="473" t="s">
        <v>59</v>
      </c>
      <c r="C96" s="474"/>
      <c r="D96" s="80">
        <v>0</v>
      </c>
      <c r="E96" s="51" t="s">
        <v>24</v>
      </c>
      <c r="F96" s="68"/>
      <c r="G96" s="469"/>
      <c r="H96" s="46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37" t="s">
        <v>143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7"/>
    </row>
    <row r="2" spans="2:19" s="1" customFormat="1" ht="15.75" customHeight="1">
      <c r="B2" s="438"/>
      <c r="C2" s="438"/>
      <c r="D2" s="438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39"/>
      <c r="B3" s="441"/>
      <c r="C3" s="442" t="s">
        <v>0</v>
      </c>
      <c r="D3" s="443" t="s">
        <v>134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123</v>
      </c>
      <c r="O3" s="450" t="s">
        <v>118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135</v>
      </c>
      <c r="F4" s="453" t="s">
        <v>33</v>
      </c>
      <c r="G4" s="455" t="s">
        <v>136</v>
      </c>
      <c r="H4" s="448" t="s">
        <v>137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124</v>
      </c>
      <c r="P4" s="455" t="s">
        <v>49</v>
      </c>
      <c r="Q4" s="459" t="s">
        <v>48</v>
      </c>
      <c r="R4" s="91" t="s">
        <v>64</v>
      </c>
      <c r="S4" s="92" t="s">
        <v>63</v>
      </c>
    </row>
    <row r="5" spans="1:19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142</v>
      </c>
      <c r="L5" s="461"/>
      <c r="M5" s="462"/>
      <c r="N5" s="449"/>
      <c r="O5" s="458"/>
      <c r="P5" s="456"/>
      <c r="Q5" s="459"/>
      <c r="R5" s="460" t="s">
        <v>102</v>
      </c>
      <c r="S5" s="46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67"/>
      <c r="H89" s="467"/>
      <c r="I89" s="467"/>
      <c r="J89" s="46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68"/>
      <c r="P90" s="468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69"/>
      <c r="H91" s="469"/>
      <c r="I91" s="118"/>
      <c r="J91" s="482"/>
      <c r="K91" s="482"/>
      <c r="L91" s="482"/>
      <c r="M91" s="482"/>
      <c r="N91" s="482"/>
      <c r="O91" s="468"/>
      <c r="P91" s="468"/>
    </row>
    <row r="92" spans="3:16" ht="15.75" customHeight="1">
      <c r="C92" s="81">
        <v>42762</v>
      </c>
      <c r="D92" s="29">
        <v>8862.4</v>
      </c>
      <c r="F92" s="68"/>
      <c r="G92" s="469"/>
      <c r="H92" s="469"/>
      <c r="I92" s="118"/>
      <c r="J92" s="483"/>
      <c r="K92" s="483"/>
      <c r="L92" s="483"/>
      <c r="M92" s="483"/>
      <c r="N92" s="483"/>
      <c r="O92" s="468"/>
      <c r="P92" s="468"/>
    </row>
    <row r="93" spans="3:14" ht="15.75" customHeight="1">
      <c r="C93" s="81"/>
      <c r="F93" s="68"/>
      <c r="G93" s="470"/>
      <c r="H93" s="470"/>
      <c r="I93" s="124"/>
      <c r="J93" s="482"/>
      <c r="K93" s="482"/>
      <c r="L93" s="482"/>
      <c r="M93" s="482"/>
      <c r="N93" s="482"/>
    </row>
    <row r="94" spans="2:14" ht="18.75" customHeight="1">
      <c r="B94" s="471" t="s">
        <v>56</v>
      </c>
      <c r="C94" s="472"/>
      <c r="D94" s="133">
        <f>9505303.41/1000</f>
        <v>9505.30341</v>
      </c>
      <c r="E94" s="69"/>
      <c r="F94" s="125" t="s">
        <v>107</v>
      </c>
      <c r="G94" s="469"/>
      <c r="H94" s="46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69"/>
      <c r="H95" s="469"/>
      <c r="I95" s="68"/>
      <c r="J95" s="69"/>
      <c r="K95" s="69"/>
      <c r="L95" s="69"/>
      <c r="M95" s="69"/>
    </row>
    <row r="96" spans="2:13" ht="22.5" customHeight="1" hidden="1">
      <c r="B96" s="473" t="s">
        <v>59</v>
      </c>
      <c r="C96" s="474"/>
      <c r="D96" s="80">
        <v>0</v>
      </c>
      <c r="E96" s="51" t="s">
        <v>24</v>
      </c>
      <c r="F96" s="68"/>
      <c r="G96" s="469"/>
      <c r="H96" s="46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14" sqref="Y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37" t="s">
        <v>132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7"/>
    </row>
    <row r="2" spans="2:19" s="1" customFormat="1" ht="15.75" customHeight="1">
      <c r="B2" s="438"/>
      <c r="C2" s="438"/>
      <c r="D2" s="438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39"/>
      <c r="B3" s="441"/>
      <c r="C3" s="442" t="s">
        <v>0</v>
      </c>
      <c r="D3" s="443" t="s">
        <v>126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129</v>
      </c>
      <c r="O3" s="450" t="s">
        <v>125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127</v>
      </c>
      <c r="F4" s="484" t="s">
        <v>33</v>
      </c>
      <c r="G4" s="455" t="s">
        <v>128</v>
      </c>
      <c r="H4" s="448" t="s">
        <v>122</v>
      </c>
      <c r="I4" s="455" t="s">
        <v>103</v>
      </c>
      <c r="J4" s="448" t="s">
        <v>104</v>
      </c>
      <c r="K4" s="85" t="s">
        <v>114</v>
      </c>
      <c r="L4" s="204" t="s">
        <v>113</v>
      </c>
      <c r="M4" s="90" t="s">
        <v>63</v>
      </c>
      <c r="N4" s="448"/>
      <c r="O4" s="457" t="s">
        <v>133</v>
      </c>
      <c r="P4" s="455" t="s">
        <v>49</v>
      </c>
      <c r="Q4" s="459" t="s">
        <v>48</v>
      </c>
      <c r="R4" s="91" t="s">
        <v>64</v>
      </c>
      <c r="S4" s="92" t="s">
        <v>63</v>
      </c>
    </row>
    <row r="5" spans="1:19" ht="67.5" customHeight="1">
      <c r="A5" s="440"/>
      <c r="B5" s="441"/>
      <c r="C5" s="442"/>
      <c r="D5" s="443"/>
      <c r="E5" s="452"/>
      <c r="F5" s="485"/>
      <c r="G5" s="456"/>
      <c r="H5" s="449"/>
      <c r="I5" s="456"/>
      <c r="J5" s="449"/>
      <c r="K5" s="460" t="s">
        <v>130</v>
      </c>
      <c r="L5" s="461"/>
      <c r="M5" s="462"/>
      <c r="N5" s="449"/>
      <c r="O5" s="458"/>
      <c r="P5" s="456"/>
      <c r="Q5" s="459"/>
      <c r="R5" s="460" t="s">
        <v>102</v>
      </c>
      <c r="S5" s="46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67"/>
      <c r="H89" s="467"/>
      <c r="I89" s="467"/>
      <c r="J89" s="46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68"/>
      <c r="P90" s="468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69"/>
      <c r="H91" s="469"/>
      <c r="I91" s="118"/>
      <c r="J91" s="482"/>
      <c r="K91" s="482"/>
      <c r="L91" s="482"/>
      <c r="M91" s="482"/>
      <c r="N91" s="482"/>
      <c r="O91" s="468"/>
      <c r="P91" s="468"/>
    </row>
    <row r="92" spans="3:16" ht="15.75" customHeight="1">
      <c r="C92" s="81">
        <v>42732</v>
      </c>
      <c r="D92" s="29">
        <v>19085.6</v>
      </c>
      <c r="F92" s="333"/>
      <c r="G92" s="469"/>
      <c r="H92" s="469"/>
      <c r="I92" s="118"/>
      <c r="J92" s="483"/>
      <c r="K92" s="483"/>
      <c r="L92" s="483"/>
      <c r="M92" s="483"/>
      <c r="N92" s="483"/>
      <c r="O92" s="468"/>
      <c r="P92" s="468"/>
    </row>
    <row r="93" spans="3:14" ht="15.75" customHeight="1">
      <c r="C93" s="81"/>
      <c r="F93" s="333"/>
      <c r="G93" s="470"/>
      <c r="H93" s="470"/>
      <c r="I93" s="124"/>
      <c r="J93" s="482"/>
      <c r="K93" s="482"/>
      <c r="L93" s="482"/>
      <c r="M93" s="482"/>
      <c r="N93" s="482"/>
    </row>
    <row r="94" spans="2:14" ht="18.75" customHeight="1">
      <c r="B94" s="471" t="s">
        <v>56</v>
      </c>
      <c r="C94" s="472"/>
      <c r="D94" s="133" t="e">
        <f>'[1]ЧТКЕ'!$G$6/1000</f>
        <v>#VALUE!</v>
      </c>
      <c r="E94" s="69"/>
      <c r="F94" s="334" t="s">
        <v>107</v>
      </c>
      <c r="G94" s="469"/>
      <c r="H94" s="46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69"/>
      <c r="H95" s="469"/>
      <c r="I95" s="68"/>
      <c r="J95" s="69"/>
      <c r="K95" s="69"/>
      <c r="L95" s="69"/>
      <c r="M95" s="69"/>
    </row>
    <row r="96" spans="2:13" ht="22.5" customHeight="1" hidden="1">
      <c r="B96" s="473" t="s">
        <v>59</v>
      </c>
      <c r="C96" s="474"/>
      <c r="D96" s="80">
        <v>0</v>
      </c>
      <c r="E96" s="51" t="s">
        <v>24</v>
      </c>
      <c r="F96" s="333"/>
      <c r="G96" s="469"/>
      <c r="H96" s="46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37" t="s">
        <v>279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312"/>
    </row>
    <row r="2" spans="2:24" s="1" customFormat="1" ht="15.75" customHeight="1">
      <c r="B2" s="438"/>
      <c r="C2" s="438"/>
      <c r="D2" s="438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47" t="s">
        <v>265</v>
      </c>
      <c r="U3" s="450" t="s">
        <v>118</v>
      </c>
      <c r="V3" s="450"/>
      <c r="W3" s="450"/>
      <c r="X3" s="359"/>
    </row>
    <row r="4" spans="1:23" ht="22.5" customHeight="1">
      <c r="A4" s="439"/>
      <c r="B4" s="441"/>
      <c r="C4" s="442"/>
      <c r="D4" s="443"/>
      <c r="E4" s="451" t="s">
        <v>262</v>
      </c>
      <c r="F4" s="453" t="s">
        <v>33</v>
      </c>
      <c r="G4" s="455" t="s">
        <v>263</v>
      </c>
      <c r="H4" s="448" t="s">
        <v>264</v>
      </c>
      <c r="I4" s="455" t="s">
        <v>138</v>
      </c>
      <c r="J4" s="44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48"/>
      <c r="U4" s="457" t="s">
        <v>280</v>
      </c>
      <c r="V4" s="455" t="s">
        <v>49</v>
      </c>
      <c r="W4" s="459" t="s">
        <v>48</v>
      </c>
    </row>
    <row r="5" spans="1:23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247</v>
      </c>
      <c r="L5" s="461"/>
      <c r="M5" s="462"/>
      <c r="N5" s="463" t="s">
        <v>248</v>
      </c>
      <c r="O5" s="464"/>
      <c r="P5" s="465"/>
      <c r="Q5" s="466" t="s">
        <v>266</v>
      </c>
      <c r="R5" s="466"/>
      <c r="S5" s="466"/>
      <c r="T5" s="449"/>
      <c r="U5" s="458"/>
      <c r="V5" s="456"/>
      <c r="W5" s="459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67"/>
      <c r="H104" s="467"/>
      <c r="I104" s="467"/>
      <c r="J104" s="467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68"/>
      <c r="V105" s="468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69"/>
      <c r="H106" s="46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68"/>
      <c r="V106" s="468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69"/>
      <c r="H107" s="46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68"/>
      <c r="V107" s="468"/>
      <c r="X107" s="363">
        <f t="shared" si="37"/>
        <v>0</v>
      </c>
    </row>
    <row r="108" spans="3:24" ht="15.75" customHeight="1">
      <c r="C108" s="81"/>
      <c r="F108" s="68"/>
      <c r="G108" s="470"/>
      <c r="H108" s="470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71" t="s">
        <v>56</v>
      </c>
      <c r="C109" s="472"/>
      <c r="D109" s="133">
        <f>374516.26/1000</f>
        <v>374.51626</v>
      </c>
      <c r="E109" s="69"/>
      <c r="F109" s="125" t="s">
        <v>107</v>
      </c>
      <c r="G109" s="469"/>
      <c r="H109" s="46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69"/>
      <c r="H110" s="46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73" t="s">
        <v>59</v>
      </c>
      <c r="C111" s="474"/>
      <c r="D111" s="80">
        <v>0</v>
      </c>
      <c r="E111" s="51" t="s">
        <v>24</v>
      </c>
      <c r="F111" s="68"/>
      <c r="G111" s="469"/>
      <c r="H111" s="46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V4:V5"/>
    <mergeCell ref="W4:W5"/>
    <mergeCell ref="K5:M5"/>
    <mergeCell ref="N5:P5"/>
    <mergeCell ref="Q5:S5"/>
    <mergeCell ref="U113:V113"/>
    <mergeCell ref="G108:H108"/>
    <mergeCell ref="F4:F5"/>
    <mergeCell ref="G4:G5"/>
    <mergeCell ref="H4:H5"/>
    <mergeCell ref="I4:I5"/>
    <mergeCell ref="J4:J5"/>
    <mergeCell ref="G104:J104"/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37" t="s">
        <v>260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86"/>
      <c r="Y1" s="86"/>
    </row>
    <row r="2" spans="2:25" s="1" customFormat="1" ht="15.75" customHeight="1">
      <c r="B2" s="438"/>
      <c r="C2" s="438"/>
      <c r="D2" s="438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47" t="s">
        <v>244</v>
      </c>
      <c r="U3" s="450" t="s">
        <v>252</v>
      </c>
      <c r="V3" s="450"/>
      <c r="W3" s="450"/>
      <c r="X3" s="450"/>
      <c r="Y3" s="450"/>
    </row>
    <row r="4" spans="1:25" ht="22.5" customHeight="1">
      <c r="A4" s="439"/>
      <c r="B4" s="441"/>
      <c r="C4" s="442"/>
      <c r="D4" s="443"/>
      <c r="E4" s="451" t="s">
        <v>249</v>
      </c>
      <c r="F4" s="453" t="s">
        <v>33</v>
      </c>
      <c r="G4" s="455" t="s">
        <v>250</v>
      </c>
      <c r="H4" s="448" t="s">
        <v>251</v>
      </c>
      <c r="I4" s="455" t="s">
        <v>138</v>
      </c>
      <c r="J4" s="44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48"/>
      <c r="U4" s="457" t="s">
        <v>261</v>
      </c>
      <c r="V4" s="455" t="s">
        <v>49</v>
      </c>
      <c r="W4" s="459" t="s">
        <v>48</v>
      </c>
      <c r="X4" s="91" t="s">
        <v>64</v>
      </c>
      <c r="Y4" s="91"/>
    </row>
    <row r="5" spans="1:25" ht="77.2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247</v>
      </c>
      <c r="L5" s="461"/>
      <c r="M5" s="462"/>
      <c r="N5" s="477" t="s">
        <v>248</v>
      </c>
      <c r="O5" s="478"/>
      <c r="P5" s="479"/>
      <c r="Q5" s="466" t="s">
        <v>253</v>
      </c>
      <c r="R5" s="466"/>
      <c r="S5" s="466"/>
      <c r="T5" s="449"/>
      <c r="U5" s="458"/>
      <c r="V5" s="456"/>
      <c r="W5" s="459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67"/>
      <c r="H92" s="467"/>
      <c r="I92" s="467"/>
      <c r="J92" s="467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68"/>
      <c r="V93" s="468"/>
    </row>
    <row r="94" spans="3:22" ht="15">
      <c r="C94" s="81">
        <v>43038</v>
      </c>
      <c r="D94" s="29">
        <v>12345.6</v>
      </c>
      <c r="G94" s="469"/>
      <c r="H94" s="46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68"/>
      <c r="V94" s="468"/>
    </row>
    <row r="95" spans="3:22" ht="15.75" customHeight="1">
      <c r="C95" s="81">
        <v>43035</v>
      </c>
      <c r="D95" s="29">
        <v>10115.9</v>
      </c>
      <c r="F95" s="68"/>
      <c r="G95" s="469"/>
      <c r="H95" s="46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68"/>
      <c r="V95" s="468"/>
    </row>
    <row r="96" spans="3:20" ht="15.75" customHeight="1">
      <c r="C96" s="81"/>
      <c r="F96" s="68"/>
      <c r="G96" s="470"/>
      <c r="H96" s="470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71" t="s">
        <v>56</v>
      </c>
      <c r="C97" s="472"/>
      <c r="D97" s="133">
        <v>0</v>
      </c>
      <c r="E97" s="69"/>
      <c r="F97" s="125" t="s">
        <v>107</v>
      </c>
      <c r="G97" s="469"/>
      <c r="H97" s="46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69"/>
      <c r="H98" s="46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37" t="s">
        <v>242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86"/>
      <c r="Y1" s="86"/>
      <c r="Z1" s="312"/>
    </row>
    <row r="2" spans="2:26" s="1" customFormat="1" ht="15.75" customHeight="1">
      <c r="B2" s="438"/>
      <c r="C2" s="438"/>
      <c r="D2" s="438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47" t="s">
        <v>239</v>
      </c>
      <c r="U3" s="450" t="s">
        <v>241</v>
      </c>
      <c r="V3" s="450"/>
      <c r="W3" s="450"/>
      <c r="X3" s="450"/>
      <c r="Y3" s="450"/>
      <c r="Z3" s="359"/>
    </row>
    <row r="4" spans="1:25" ht="22.5" customHeight="1">
      <c r="A4" s="439"/>
      <c r="B4" s="441"/>
      <c r="C4" s="442"/>
      <c r="D4" s="443"/>
      <c r="E4" s="451" t="s">
        <v>236</v>
      </c>
      <c r="F4" s="453" t="s">
        <v>33</v>
      </c>
      <c r="G4" s="455" t="s">
        <v>237</v>
      </c>
      <c r="H4" s="448" t="s">
        <v>238</v>
      </c>
      <c r="I4" s="455" t="s">
        <v>138</v>
      </c>
      <c r="J4" s="44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48"/>
      <c r="U4" s="457" t="s">
        <v>243</v>
      </c>
      <c r="V4" s="455" t="s">
        <v>49</v>
      </c>
      <c r="W4" s="459" t="s">
        <v>48</v>
      </c>
      <c r="X4" s="91" t="s">
        <v>64</v>
      </c>
      <c r="Y4" s="91"/>
    </row>
    <row r="5" spans="1:25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247</v>
      </c>
      <c r="L5" s="461"/>
      <c r="M5" s="462"/>
      <c r="N5" s="463" t="s">
        <v>248</v>
      </c>
      <c r="O5" s="464"/>
      <c r="P5" s="465"/>
      <c r="Q5" s="466" t="s">
        <v>240</v>
      </c>
      <c r="R5" s="466"/>
      <c r="S5" s="466"/>
      <c r="T5" s="449"/>
      <c r="U5" s="458"/>
      <c r="V5" s="456"/>
      <c r="W5" s="459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67"/>
      <c r="H92" s="467"/>
      <c r="I92" s="467"/>
      <c r="J92" s="467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68"/>
      <c r="V93" s="468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69"/>
      <c r="H94" s="46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68"/>
      <c r="V94" s="468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69"/>
      <c r="H95" s="46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68"/>
      <c r="V95" s="468"/>
      <c r="Z95" s="363">
        <f t="shared" si="40"/>
        <v>0</v>
      </c>
    </row>
    <row r="96" spans="3:26" ht="15.75" customHeight="1" hidden="1">
      <c r="C96" s="81"/>
      <c r="F96" s="68"/>
      <c r="G96" s="470"/>
      <c r="H96" s="470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71" t="s">
        <v>56</v>
      </c>
      <c r="C97" s="472"/>
      <c r="D97" s="133">
        <v>980.44</v>
      </c>
      <c r="E97" s="69"/>
      <c r="F97" s="125" t="s">
        <v>107</v>
      </c>
      <c r="G97" s="469"/>
      <c r="H97" s="46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69"/>
      <c r="H98" s="46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73" t="s">
        <v>59</v>
      </c>
      <c r="C99" s="474"/>
      <c r="D99" s="80"/>
      <c r="E99" s="51" t="s">
        <v>24</v>
      </c>
      <c r="F99" s="68"/>
      <c r="G99" s="469"/>
      <c r="H99" s="46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37" t="s">
        <v>233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6"/>
    </row>
    <row r="2" spans="2:19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230</v>
      </c>
      <c r="O3" s="450" t="s">
        <v>235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227</v>
      </c>
      <c r="F4" s="453" t="s">
        <v>33</v>
      </c>
      <c r="G4" s="455" t="s">
        <v>228</v>
      </c>
      <c r="H4" s="448" t="s">
        <v>229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234</v>
      </c>
      <c r="P4" s="455" t="s">
        <v>49</v>
      </c>
      <c r="Q4" s="459" t="s">
        <v>48</v>
      </c>
      <c r="R4" s="91" t="s">
        <v>64</v>
      </c>
      <c r="S4" s="91"/>
    </row>
    <row r="5" spans="1:19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231</v>
      </c>
      <c r="L5" s="461"/>
      <c r="M5" s="462"/>
      <c r="N5" s="449"/>
      <c r="O5" s="458"/>
      <c r="P5" s="456"/>
      <c r="Q5" s="459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68"/>
      <c r="P93" s="468"/>
    </row>
    <row r="94" spans="3:16" ht="15">
      <c r="C94" s="81">
        <v>42977</v>
      </c>
      <c r="D94" s="29">
        <v>9672.2</v>
      </c>
      <c r="G94" s="469"/>
      <c r="H94" s="469"/>
      <c r="I94" s="118"/>
      <c r="J94" s="295"/>
      <c r="K94" s="295"/>
      <c r="L94" s="295"/>
      <c r="M94" s="295"/>
      <c r="N94" s="295"/>
      <c r="O94" s="468"/>
      <c r="P94" s="468"/>
    </row>
    <row r="95" spans="3:16" ht="15.75" customHeight="1">
      <c r="C95" s="81">
        <v>42976</v>
      </c>
      <c r="D95" s="29">
        <v>5224.7</v>
      </c>
      <c r="F95" s="68"/>
      <c r="G95" s="469"/>
      <c r="H95" s="469"/>
      <c r="I95" s="118"/>
      <c r="J95" s="296"/>
      <c r="K95" s="296"/>
      <c r="L95" s="296"/>
      <c r="M95" s="296"/>
      <c r="N95" s="296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295"/>
      <c r="K96" s="295"/>
      <c r="L96" s="295"/>
      <c r="M96" s="295"/>
      <c r="N96" s="295"/>
    </row>
    <row r="97" spans="2:14" ht="18" customHeight="1">
      <c r="B97" s="471" t="s">
        <v>56</v>
      </c>
      <c r="C97" s="472"/>
      <c r="D97" s="133">
        <v>8826.98</v>
      </c>
      <c r="E97" s="69"/>
      <c r="F97" s="125" t="s">
        <v>107</v>
      </c>
      <c r="G97" s="469"/>
      <c r="H97" s="46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37" t="s">
        <v>232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6"/>
    </row>
    <row r="2" spans="2:19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218</v>
      </c>
      <c r="O3" s="450" t="s">
        <v>220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219</v>
      </c>
      <c r="F4" s="453" t="s">
        <v>33</v>
      </c>
      <c r="G4" s="455" t="s">
        <v>221</v>
      </c>
      <c r="H4" s="448" t="s">
        <v>222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226</v>
      </c>
      <c r="P4" s="455" t="s">
        <v>49</v>
      </c>
      <c r="Q4" s="459" t="s">
        <v>48</v>
      </c>
      <c r="R4" s="91" t="s">
        <v>64</v>
      </c>
      <c r="S4" s="91"/>
    </row>
    <row r="5" spans="1:19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225</v>
      </c>
      <c r="L5" s="461"/>
      <c r="M5" s="462"/>
      <c r="N5" s="449"/>
      <c r="O5" s="458"/>
      <c r="P5" s="456"/>
      <c r="Q5" s="459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68"/>
      <c r="P93" s="468"/>
    </row>
    <row r="94" spans="3:16" ht="15">
      <c r="C94" s="81">
        <v>42944</v>
      </c>
      <c r="D94" s="29">
        <v>13586.1</v>
      </c>
      <c r="G94" s="469"/>
      <c r="H94" s="469"/>
      <c r="I94" s="118"/>
      <c r="J94" s="482"/>
      <c r="K94" s="482"/>
      <c r="L94" s="482"/>
      <c r="M94" s="482"/>
      <c r="N94" s="482"/>
      <c r="O94" s="468"/>
      <c r="P94" s="468"/>
    </row>
    <row r="95" spans="3:16" ht="15.75" customHeight="1">
      <c r="C95" s="81">
        <v>42943</v>
      </c>
      <c r="D95" s="29">
        <v>6106.3</v>
      </c>
      <c r="F95" s="68"/>
      <c r="G95" s="469"/>
      <c r="H95" s="469"/>
      <c r="I95" s="118"/>
      <c r="J95" s="483"/>
      <c r="K95" s="483"/>
      <c r="L95" s="483"/>
      <c r="M95" s="483"/>
      <c r="N95" s="483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482"/>
      <c r="K96" s="482"/>
      <c r="L96" s="482"/>
      <c r="M96" s="482"/>
      <c r="N96" s="482"/>
    </row>
    <row r="97" spans="2:14" ht="18" customHeight="1">
      <c r="B97" s="471" t="s">
        <v>56</v>
      </c>
      <c r="C97" s="472"/>
      <c r="D97" s="133">
        <v>12794.02</v>
      </c>
      <c r="E97" s="69"/>
      <c r="F97" s="125" t="s">
        <v>107</v>
      </c>
      <c r="G97" s="469"/>
      <c r="H97" s="46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37" t="s">
        <v>216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6"/>
    </row>
    <row r="2" spans="2:19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212</v>
      </c>
      <c r="O3" s="450" t="s">
        <v>213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209</v>
      </c>
      <c r="F4" s="453" t="s">
        <v>33</v>
      </c>
      <c r="G4" s="455" t="s">
        <v>210</v>
      </c>
      <c r="H4" s="448" t="s">
        <v>211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217</v>
      </c>
      <c r="P4" s="455" t="s">
        <v>49</v>
      </c>
      <c r="Q4" s="459" t="s">
        <v>48</v>
      </c>
      <c r="R4" s="91" t="s">
        <v>64</v>
      </c>
      <c r="S4" s="91"/>
    </row>
    <row r="5" spans="1:19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214</v>
      </c>
      <c r="L5" s="461"/>
      <c r="M5" s="462"/>
      <c r="N5" s="449"/>
      <c r="O5" s="458"/>
      <c r="P5" s="456"/>
      <c r="Q5" s="459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68"/>
      <c r="P93" s="468"/>
    </row>
    <row r="94" spans="3:16" ht="15">
      <c r="C94" s="81">
        <v>42913</v>
      </c>
      <c r="D94" s="29">
        <v>9872.9</v>
      </c>
      <c r="G94" s="469"/>
      <c r="H94" s="469"/>
      <c r="I94" s="118"/>
      <c r="J94" s="482"/>
      <c r="K94" s="482"/>
      <c r="L94" s="482"/>
      <c r="M94" s="482"/>
      <c r="N94" s="482"/>
      <c r="O94" s="468"/>
      <c r="P94" s="468"/>
    </row>
    <row r="95" spans="3:16" ht="15.75" customHeight="1">
      <c r="C95" s="81">
        <v>42912</v>
      </c>
      <c r="D95" s="29">
        <v>4876.1</v>
      </c>
      <c r="F95" s="68"/>
      <c r="G95" s="469"/>
      <c r="H95" s="469"/>
      <c r="I95" s="118"/>
      <c r="J95" s="483"/>
      <c r="K95" s="483"/>
      <c r="L95" s="483"/>
      <c r="M95" s="483"/>
      <c r="N95" s="483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482"/>
      <c r="K96" s="482"/>
      <c r="L96" s="482"/>
      <c r="M96" s="482"/>
      <c r="N96" s="482"/>
    </row>
    <row r="97" spans="2:14" ht="18" customHeight="1">
      <c r="B97" s="471" t="s">
        <v>56</v>
      </c>
      <c r="C97" s="472"/>
      <c r="D97" s="133">
        <v>225.52589</v>
      </c>
      <c r="E97" s="69"/>
      <c r="F97" s="125" t="s">
        <v>107</v>
      </c>
      <c r="G97" s="469"/>
      <c r="H97" s="46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37" t="s">
        <v>207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6"/>
      <c r="T1" s="86"/>
      <c r="U1" s="87"/>
    </row>
    <row r="2" spans="2:21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201</v>
      </c>
      <c r="O3" s="450" t="s">
        <v>202</v>
      </c>
      <c r="P3" s="450"/>
      <c r="Q3" s="450"/>
      <c r="R3" s="450"/>
      <c r="S3" s="450"/>
      <c r="T3" s="450"/>
      <c r="U3" s="450"/>
    </row>
    <row r="4" spans="1:21" ht="22.5" customHeight="1">
      <c r="A4" s="439"/>
      <c r="B4" s="441"/>
      <c r="C4" s="442"/>
      <c r="D4" s="443"/>
      <c r="E4" s="451" t="s">
        <v>198</v>
      </c>
      <c r="F4" s="453" t="s">
        <v>33</v>
      </c>
      <c r="G4" s="455" t="s">
        <v>199</v>
      </c>
      <c r="H4" s="448" t="s">
        <v>200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208</v>
      </c>
      <c r="P4" s="455" t="s">
        <v>49</v>
      </c>
      <c r="Q4" s="45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204</v>
      </c>
      <c r="L5" s="461"/>
      <c r="M5" s="462"/>
      <c r="N5" s="449"/>
      <c r="O5" s="458"/>
      <c r="P5" s="456"/>
      <c r="Q5" s="459"/>
      <c r="R5" s="480" t="s">
        <v>203</v>
      </c>
      <c r="S5" s="481"/>
      <c r="T5" s="466" t="s">
        <v>194</v>
      </c>
      <c r="U5" s="46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68"/>
      <c r="P93" s="468"/>
    </row>
    <row r="94" spans="3:16" ht="15">
      <c r="C94" s="81">
        <v>42885</v>
      </c>
      <c r="D94" s="29">
        <v>10664.9</v>
      </c>
      <c r="F94" s="113" t="s">
        <v>58</v>
      </c>
      <c r="G94" s="469"/>
      <c r="H94" s="469"/>
      <c r="I94" s="118"/>
      <c r="J94" s="482"/>
      <c r="K94" s="482"/>
      <c r="L94" s="482"/>
      <c r="M94" s="482"/>
      <c r="N94" s="482"/>
      <c r="O94" s="468"/>
      <c r="P94" s="468"/>
    </row>
    <row r="95" spans="3:16" ht="15.75" customHeight="1">
      <c r="C95" s="81">
        <v>42884</v>
      </c>
      <c r="D95" s="29">
        <v>6919.44</v>
      </c>
      <c r="F95" s="68"/>
      <c r="G95" s="469"/>
      <c r="H95" s="469"/>
      <c r="I95" s="118"/>
      <c r="J95" s="483"/>
      <c r="K95" s="483"/>
      <c r="L95" s="483"/>
      <c r="M95" s="483"/>
      <c r="N95" s="483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482"/>
      <c r="K96" s="482"/>
      <c r="L96" s="482"/>
      <c r="M96" s="482"/>
      <c r="N96" s="482"/>
    </row>
    <row r="97" spans="2:14" ht="18" customHeight="1">
      <c r="B97" s="471" t="s">
        <v>56</v>
      </c>
      <c r="C97" s="472"/>
      <c r="D97" s="133">
        <v>1135.71022</v>
      </c>
      <c r="E97" s="69"/>
      <c r="F97" s="125" t="s">
        <v>107</v>
      </c>
      <c r="G97" s="469"/>
      <c r="H97" s="46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37" t="s">
        <v>196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6"/>
      <c r="T1" s="86"/>
      <c r="U1" s="87"/>
    </row>
    <row r="2" spans="2:21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191</v>
      </c>
      <c r="O3" s="450" t="s">
        <v>190</v>
      </c>
      <c r="P3" s="450"/>
      <c r="Q3" s="450"/>
      <c r="R3" s="450"/>
      <c r="S3" s="450"/>
      <c r="T3" s="450"/>
      <c r="U3" s="450"/>
    </row>
    <row r="4" spans="1:21" ht="22.5" customHeight="1">
      <c r="A4" s="439"/>
      <c r="B4" s="441"/>
      <c r="C4" s="442"/>
      <c r="D4" s="443"/>
      <c r="E4" s="451" t="s">
        <v>187</v>
      </c>
      <c r="F4" s="453" t="s">
        <v>33</v>
      </c>
      <c r="G4" s="455" t="s">
        <v>188</v>
      </c>
      <c r="H4" s="448" t="s">
        <v>189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197</v>
      </c>
      <c r="P4" s="455" t="s">
        <v>49</v>
      </c>
      <c r="Q4" s="45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192</v>
      </c>
      <c r="L5" s="461"/>
      <c r="M5" s="462"/>
      <c r="N5" s="449"/>
      <c r="O5" s="458"/>
      <c r="P5" s="456"/>
      <c r="Q5" s="459"/>
      <c r="R5" s="480" t="s">
        <v>193</v>
      </c>
      <c r="S5" s="481"/>
      <c r="T5" s="466" t="s">
        <v>194</v>
      </c>
      <c r="U5" s="46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68"/>
      <c r="P93" s="468"/>
    </row>
    <row r="94" spans="3:16" ht="15">
      <c r="C94" s="81">
        <v>42852</v>
      </c>
      <c r="D94" s="29">
        <v>13266.8</v>
      </c>
      <c r="F94" s="113" t="s">
        <v>58</v>
      </c>
      <c r="G94" s="469"/>
      <c r="H94" s="469"/>
      <c r="I94" s="118"/>
      <c r="J94" s="482"/>
      <c r="K94" s="482"/>
      <c r="L94" s="482"/>
      <c r="M94" s="482"/>
      <c r="N94" s="482"/>
      <c r="O94" s="468"/>
      <c r="P94" s="468"/>
    </row>
    <row r="95" spans="3:16" ht="15.75" customHeight="1">
      <c r="C95" s="81">
        <v>42851</v>
      </c>
      <c r="D95" s="29">
        <v>6064.2</v>
      </c>
      <c r="F95" s="68"/>
      <c r="G95" s="469"/>
      <c r="H95" s="469"/>
      <c r="I95" s="118"/>
      <c r="J95" s="483"/>
      <c r="K95" s="483"/>
      <c r="L95" s="483"/>
      <c r="M95" s="483"/>
      <c r="N95" s="483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482"/>
      <c r="K96" s="482"/>
      <c r="L96" s="482"/>
      <c r="M96" s="482"/>
      <c r="N96" s="482"/>
    </row>
    <row r="97" spans="2:14" ht="18" customHeight="1">
      <c r="B97" s="471" t="s">
        <v>56</v>
      </c>
      <c r="C97" s="472"/>
      <c r="D97" s="133">
        <v>102.57358</v>
      </c>
      <c r="E97" s="69"/>
      <c r="F97" s="125" t="s">
        <v>107</v>
      </c>
      <c r="G97" s="469"/>
      <c r="H97" s="46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2018-01-02T10:33:31Z</cp:lastPrinted>
  <dcterms:created xsi:type="dcterms:W3CDTF">2003-07-28T11:27:56Z</dcterms:created>
  <dcterms:modified xsi:type="dcterms:W3CDTF">2018-01-02T13:35:50Z</dcterms:modified>
  <cp:category/>
  <cp:version/>
  <cp:contentType/>
  <cp:contentStatus/>
</cp:coreProperties>
</file>